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slicerCaches/slicerCache1.xml" ContentType="application/vnd.ms-excel.slicerCache+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slicers/slicer1.xml" ContentType="application/vnd.ms-excel.slicer+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hidePivotFieldList="1"/>
  <bookViews>
    <workbookView xWindow="0" yWindow="0" windowWidth="15600" windowHeight="11190" firstSheet="3" activeTab="6"/>
  </bookViews>
  <sheets>
    <sheet name="Sommaire" sheetId="7" r:id="rId1"/>
    <sheet name="Guide" sheetId="6" r:id="rId2"/>
    <sheet name="Maille d'appréciation" sheetId="13" r:id="rId3"/>
    <sheet name="Annexe 2-1" sheetId="1" r:id="rId4"/>
    <sheet name="Annexe 2-2" sheetId="14" r:id="rId5"/>
    <sheet name="Annexe 3" sheetId="15" r:id="rId6"/>
    <sheet name="Annexe 3 - Détail par OC" sheetId="16" r:id="rId7"/>
    <sheet name="VUE_KPI_FTTH" sheetId="17" state="hidden" r:id="rId8"/>
  </sheets>
  <definedNames>
    <definedName name="Segment_AnneeTTrimestre">#N/A</definedName>
  </definedNames>
  <calcPr calcId="145621"/>
  <pivotCaches>
    <pivotCache cacheId="2" r:id="rId9"/>
  </pivotCaches>
  <extLst>
    <ext xmlns:x14="http://schemas.microsoft.com/office/spreadsheetml/2009/9/main" uri="{BBE1A952-AA13-448e-AADC-164F8A28A991}">
      <x14:slicerCaches>
        <x14:slicerCache r:id="rId10"/>
      </x14:slicerCaches>
    </ext>
    <ext xmlns:x14="http://schemas.microsoft.com/office/spreadsheetml/2009/9/main" uri="{79F54976-1DA5-4618-B147-4CDE4B953A38}">
      <x14:workbookPr/>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2" i="15" l="1"/>
  <c r="G12" i="15"/>
  <c r="F12" i="15"/>
  <c r="E12" i="15"/>
  <c r="D12" i="15"/>
  <c r="C12" i="15"/>
  <c r="H9" i="15"/>
  <c r="G9" i="15"/>
  <c r="F9" i="15"/>
  <c r="E9" i="15"/>
  <c r="D9" i="15"/>
  <c r="C9" i="15"/>
  <c r="I7" i="14"/>
  <c r="F11" i="1"/>
  <c r="E25" i="1"/>
  <c r="F14" i="14"/>
  <c r="J12" i="14"/>
  <c r="H21" i="14"/>
  <c r="J11" i="16"/>
  <c r="J15" i="14"/>
  <c r="I38" i="1"/>
  <c r="C18" i="1"/>
  <c r="C28" i="1"/>
  <c r="F17" i="16"/>
  <c r="D20" i="14"/>
  <c r="C10" i="16"/>
  <c r="H35" i="15"/>
  <c r="G4" i="15"/>
  <c r="D4" i="15"/>
  <c r="D18" i="16"/>
  <c r="G11" i="1"/>
  <c r="D13" i="16"/>
  <c r="L16" i="16"/>
  <c r="F41" i="1"/>
  <c r="J11" i="1"/>
  <c r="D36" i="1"/>
  <c r="I40" i="1"/>
  <c r="C40" i="1"/>
  <c r="E15" i="1"/>
  <c r="I13" i="1"/>
  <c r="E30" i="15"/>
  <c r="G33" i="1"/>
  <c r="C11" i="16"/>
  <c r="D5" i="1"/>
  <c r="J34" i="16"/>
  <c r="G18" i="14"/>
  <c r="G13" i="1"/>
  <c r="H4" i="14"/>
  <c r="H37" i="15"/>
  <c r="C17" i="15"/>
  <c r="D13" i="15"/>
  <c r="I17" i="14"/>
  <c r="J4" i="14"/>
  <c r="I13" i="14"/>
  <c r="G21" i="1"/>
  <c r="I7" i="1"/>
  <c r="E5" i="14"/>
  <c r="H40" i="1"/>
  <c r="F34" i="15"/>
  <c r="F5" i="15"/>
  <c r="E32" i="1"/>
  <c r="H17" i="14"/>
  <c r="G35" i="16"/>
  <c r="K14" i="16"/>
  <c r="H25" i="1"/>
  <c r="G5" i="15"/>
  <c r="D34" i="15"/>
  <c r="H29" i="1"/>
  <c r="F9" i="14"/>
  <c r="F5" i="14"/>
  <c r="E20" i="15"/>
  <c r="D5" i="15"/>
  <c r="D14" i="14"/>
  <c r="E35" i="15"/>
  <c r="D16" i="16"/>
  <c r="I15" i="1"/>
  <c r="J13" i="14"/>
  <c r="C14" i="1"/>
  <c r="C18" i="14"/>
  <c r="E21" i="14"/>
  <c r="H13" i="16"/>
  <c r="F21" i="15"/>
  <c r="H19" i="1"/>
  <c r="D8" i="1"/>
  <c r="D26" i="1"/>
  <c r="H10" i="14"/>
  <c r="F35" i="16"/>
  <c r="G34" i="1"/>
  <c r="H8" i="1"/>
  <c r="J18" i="1"/>
  <c r="D28" i="1"/>
  <c r="E38" i="15"/>
  <c r="C31" i="15"/>
  <c r="E16" i="15"/>
  <c r="E7" i="14"/>
  <c r="G38" i="15"/>
  <c r="J23" i="14"/>
  <c r="C7" i="14"/>
  <c r="C29" i="1"/>
  <c r="D14" i="15"/>
  <c r="C5" i="15"/>
  <c r="G17" i="14"/>
  <c r="E34" i="1"/>
  <c r="D35" i="16"/>
  <c r="I14" i="1"/>
  <c r="D15" i="14"/>
  <c r="C21" i="15"/>
  <c r="J16" i="16"/>
  <c r="I24" i="14"/>
  <c r="J21" i="14"/>
  <c r="C5" i="1"/>
  <c r="C36" i="1"/>
  <c r="D34" i="16"/>
  <c r="H34" i="15"/>
  <c r="D14" i="16"/>
  <c r="F23" i="14"/>
  <c r="F28" i="15"/>
  <c r="H4" i="1"/>
  <c r="E14" i="14"/>
  <c r="I15" i="14"/>
  <c r="D38" i="1"/>
  <c r="E28" i="15"/>
  <c r="C14" i="15"/>
  <c r="F20" i="1"/>
  <c r="J19" i="16"/>
  <c r="G14" i="16"/>
  <c r="C37" i="1"/>
  <c r="C20" i="15"/>
  <c r="I4" i="1"/>
  <c r="I28" i="1"/>
  <c r="G31" i="15"/>
  <c r="I8" i="1"/>
  <c r="J10" i="14"/>
  <c r="J36" i="1"/>
  <c r="C34" i="15"/>
  <c r="D22" i="1"/>
  <c r="D39" i="15"/>
  <c r="C18" i="16"/>
  <c r="L13" i="16"/>
  <c r="H13" i="15"/>
  <c r="C17" i="16"/>
  <c r="I9" i="14"/>
  <c r="H11" i="1"/>
  <c r="J37" i="1"/>
  <c r="F24" i="15"/>
  <c r="J35" i="16"/>
  <c r="J17" i="16"/>
  <c r="H36" i="1"/>
  <c r="I5" i="1"/>
  <c r="F16" i="15"/>
  <c r="I25" i="1"/>
  <c r="D10" i="14"/>
  <c r="H23" i="14"/>
  <c r="J15" i="1"/>
  <c r="H30" i="15"/>
  <c r="H12" i="14"/>
  <c r="D12" i="14"/>
  <c r="I19" i="1"/>
  <c r="L14" i="16"/>
  <c r="C16" i="15"/>
  <c r="H38" i="15"/>
  <c r="D30" i="1"/>
  <c r="E35" i="16"/>
  <c r="F38" i="1"/>
  <c r="I18" i="16"/>
  <c r="E37" i="15"/>
  <c r="J22" i="1"/>
  <c r="G28" i="1"/>
  <c r="E19" i="16"/>
  <c r="C38" i="1"/>
  <c r="H14" i="16"/>
  <c r="F21" i="14"/>
  <c r="G20" i="15"/>
  <c r="D10" i="1"/>
  <c r="H17" i="15"/>
  <c r="J18" i="14"/>
  <c r="L10" i="16"/>
  <c r="E16" i="1"/>
  <c r="G28" i="15"/>
  <c r="E30" i="1"/>
  <c r="L17" i="16"/>
  <c r="H5" i="1"/>
  <c r="C19" i="16"/>
  <c r="I12" i="14"/>
  <c r="E13" i="1"/>
  <c r="G24" i="15"/>
  <c r="C5" i="14"/>
  <c r="D30" i="15"/>
  <c r="D28" i="15"/>
  <c r="G39" i="15"/>
  <c r="D11" i="1"/>
  <c r="C13" i="1"/>
  <c r="E11" i="1"/>
  <c r="L11" i="16"/>
  <c r="C24" i="14"/>
  <c r="E19" i="15"/>
  <c r="H33" i="1"/>
  <c r="C15" i="14"/>
  <c r="G13" i="16"/>
  <c r="C24" i="15"/>
  <c r="G14" i="14"/>
  <c r="G38" i="1"/>
  <c r="I11" i="1"/>
  <c r="F15" i="14"/>
  <c r="I37" i="1"/>
  <c r="E38" i="1"/>
  <c r="F33" i="1"/>
  <c r="I18" i="1"/>
  <c r="D18" i="14"/>
  <c r="C14" i="14"/>
  <c r="H37" i="1"/>
  <c r="G30" i="1"/>
  <c r="D19" i="1"/>
  <c r="H16" i="15"/>
  <c r="G32" i="1"/>
  <c r="H27" i="15"/>
  <c r="E13" i="16"/>
  <c r="C21" i="14"/>
  <c r="G19" i="16"/>
  <c r="E17" i="15"/>
  <c r="G34" i="16"/>
  <c r="G21" i="15"/>
  <c r="D16" i="15"/>
  <c r="G7" i="1"/>
  <c r="I19" i="16"/>
  <c r="C35" i="16"/>
  <c r="H20" i="15"/>
  <c r="F26" i="1"/>
  <c r="H7" i="1"/>
  <c r="H20" i="14"/>
  <c r="I4" i="14"/>
  <c r="G25" i="1"/>
  <c r="H39" i="15"/>
  <c r="D41" i="1"/>
  <c r="I23" i="14"/>
  <c r="D34" i="1"/>
  <c r="K17" i="16"/>
  <c r="C4" i="14"/>
  <c r="C10" i="14"/>
  <c r="F36" i="1"/>
  <c r="J7" i="1"/>
  <c r="D5" i="14"/>
  <c r="F17" i="14"/>
  <c r="E23" i="15"/>
  <c r="I32" i="1"/>
  <c r="G4" i="1"/>
  <c r="C30" i="1"/>
  <c r="J29" i="1"/>
  <c r="G11" i="16"/>
  <c r="J16" i="1"/>
  <c r="G16" i="1"/>
  <c r="J33" i="1"/>
  <c r="E18" i="16"/>
  <c r="C35" i="15"/>
  <c r="D20" i="1"/>
  <c r="C18" i="15"/>
  <c r="K19" i="16"/>
  <c r="H18" i="15"/>
  <c r="C21" i="1"/>
  <c r="J4" i="1"/>
  <c r="F10" i="16"/>
  <c r="L18" i="16"/>
  <c r="F37" i="15"/>
  <c r="E24" i="15"/>
  <c r="G14" i="1"/>
  <c r="F13" i="16"/>
  <c r="C16" i="1"/>
  <c r="G10" i="1"/>
  <c r="J26" i="1"/>
  <c r="E33" i="1"/>
  <c r="D17" i="14"/>
  <c r="C23" i="15"/>
  <c r="E19" i="1"/>
  <c r="D37" i="15"/>
  <c r="F19" i="16"/>
  <c r="H5" i="15"/>
  <c r="D4" i="14"/>
  <c r="E11" i="16"/>
  <c r="E34" i="16"/>
  <c r="F38" i="15"/>
  <c r="F21" i="1"/>
  <c r="G4" i="14"/>
  <c r="I11" i="16"/>
  <c r="G16" i="15"/>
  <c r="I5" i="14"/>
  <c r="C41" i="1"/>
  <c r="J32" i="1"/>
  <c r="E24" i="14"/>
  <c r="H7" i="14"/>
  <c r="D10" i="16"/>
  <c r="E34" i="15"/>
  <c r="F5" i="1"/>
  <c r="J25" i="1"/>
  <c r="I14" i="16"/>
  <c r="E13" i="15"/>
  <c r="E18" i="15"/>
  <c r="G7" i="14"/>
  <c r="G37" i="15"/>
  <c r="C19" i="15"/>
  <c r="D9" i="14"/>
  <c r="G26" i="1"/>
  <c r="D17" i="16"/>
  <c r="G9" i="14"/>
  <c r="G24" i="14"/>
  <c r="K13" i="16"/>
  <c r="G37" i="1"/>
  <c r="F17" i="15"/>
  <c r="D19" i="15"/>
  <c r="D33" i="1"/>
  <c r="G19" i="15"/>
  <c r="E14" i="15"/>
  <c r="D25" i="1"/>
  <c r="C20" i="14"/>
  <c r="H28" i="1"/>
  <c r="F14" i="1"/>
  <c r="G13" i="14"/>
  <c r="E10" i="16"/>
  <c r="H28" i="15"/>
  <c r="K16" i="16"/>
  <c r="I22" i="1"/>
  <c r="I34" i="1"/>
  <c r="G22" i="1"/>
  <c r="J10" i="16"/>
  <c r="J34" i="1"/>
  <c r="H15" i="1"/>
  <c r="D13" i="14"/>
  <c r="G23" i="14"/>
  <c r="K35" i="16"/>
  <c r="F20" i="14"/>
  <c r="F13" i="1"/>
  <c r="L35" i="16"/>
  <c r="E4" i="14"/>
  <c r="E23" i="14"/>
  <c r="D17" i="15"/>
  <c r="F12" i="14"/>
  <c r="J40" i="1"/>
  <c r="C10" i="1"/>
  <c r="E15" i="14"/>
  <c r="F16" i="1"/>
  <c r="J41" i="1"/>
  <c r="J5" i="14"/>
  <c r="C13" i="15"/>
  <c r="H19" i="16"/>
  <c r="G15" i="14"/>
  <c r="F35" i="15"/>
  <c r="I16" i="16"/>
  <c r="C13" i="16"/>
  <c r="I17" i="16"/>
  <c r="D19" i="16"/>
  <c r="E21" i="1"/>
  <c r="E20" i="1"/>
  <c r="I10" i="16"/>
  <c r="G15" i="1"/>
  <c r="J13" i="1"/>
  <c r="H21" i="1"/>
  <c r="D11" i="16"/>
  <c r="H13" i="1"/>
  <c r="F18" i="14"/>
  <c r="J20" i="14"/>
  <c r="E10" i="14"/>
  <c r="F15" i="1"/>
  <c r="C27" i="15"/>
  <c r="H5" i="14"/>
  <c r="J10" i="1"/>
  <c r="E7" i="1"/>
  <c r="H14" i="15"/>
  <c r="D7" i="1"/>
  <c r="E12" i="14"/>
  <c r="E17" i="14"/>
  <c r="L34" i="16"/>
  <c r="H21" i="15"/>
  <c r="J8" i="1"/>
  <c r="H16" i="16"/>
  <c r="F10" i="1"/>
  <c r="H34" i="1"/>
  <c r="E29" i="1"/>
  <c r="C15" i="1"/>
  <c r="F28" i="1"/>
  <c r="E13" i="14"/>
  <c r="H10" i="1"/>
  <c r="J38" i="1"/>
  <c r="J9" i="14"/>
  <c r="J17" i="14"/>
  <c r="C17" i="14"/>
  <c r="C25" i="1"/>
  <c r="H19" i="15"/>
  <c r="D7" i="14"/>
  <c r="G19" i="1"/>
  <c r="C4" i="15"/>
  <c r="J18" i="16"/>
  <c r="C37" i="15"/>
  <c r="H32" i="1"/>
  <c r="F24" i="14"/>
  <c r="E14" i="1"/>
  <c r="D21" i="14"/>
  <c r="J14" i="14"/>
  <c r="D21" i="1"/>
  <c r="L19" i="16"/>
  <c r="F14" i="16"/>
  <c r="F4" i="15"/>
  <c r="I21" i="14"/>
  <c r="F25" i="1"/>
  <c r="F8" i="1"/>
  <c r="F27" i="15"/>
  <c r="F4" i="14"/>
  <c r="F11" i="16"/>
  <c r="H41" i="1"/>
  <c r="E9" i="14"/>
  <c r="F19" i="15"/>
  <c r="H26" i="1"/>
  <c r="H34" i="16"/>
  <c r="I36" i="1"/>
  <c r="D37" i="1"/>
  <c r="I10" i="1"/>
  <c r="G8" i="1"/>
  <c r="H10" i="16"/>
  <c r="G13" i="15"/>
  <c r="F4" i="1"/>
  <c r="I30" i="1"/>
  <c r="D32" i="1"/>
  <c r="D21" i="15"/>
  <c r="H35" i="16"/>
  <c r="K10" i="16"/>
  <c r="H18" i="16"/>
  <c r="F13" i="15"/>
  <c r="C28" i="15"/>
  <c r="G5" i="14"/>
  <c r="G17" i="16"/>
  <c r="D23" i="15"/>
  <c r="C19" i="1"/>
  <c r="I18" i="14"/>
  <c r="H15" i="14"/>
  <c r="C39" i="15"/>
  <c r="G10" i="14"/>
  <c r="J20" i="1"/>
  <c r="F37" i="1"/>
  <c r="F19" i="1"/>
  <c r="D15" i="1"/>
  <c r="H18" i="1"/>
  <c r="F30" i="15"/>
  <c r="F40" i="1"/>
  <c r="D24" i="15"/>
  <c r="D24" i="14"/>
  <c r="G12" i="14"/>
  <c r="C30" i="15"/>
  <c r="D35" i="15"/>
  <c r="E40" i="1"/>
  <c r="E10" i="1"/>
  <c r="E21" i="15"/>
  <c r="J7" i="14"/>
  <c r="C7" i="1"/>
  <c r="I21" i="1"/>
  <c r="E22" i="1"/>
  <c r="E16" i="16"/>
  <c r="D27" i="15"/>
  <c r="F31" i="15"/>
  <c r="J13" i="16"/>
  <c r="C23" i="14"/>
  <c r="G18" i="1"/>
  <c r="E31" i="15"/>
  <c r="I16" i="1"/>
  <c r="I13" i="16"/>
  <c r="E8" i="1"/>
  <c r="E36" i="1"/>
  <c r="F16" i="16"/>
  <c r="G17" i="15"/>
  <c r="D13" i="1"/>
  <c r="J24" i="14"/>
  <c r="J19" i="1"/>
  <c r="H14" i="1"/>
  <c r="I20" i="14"/>
  <c r="H31" i="15"/>
  <c r="H24" i="14"/>
  <c r="E28" i="1"/>
  <c r="E5" i="15"/>
  <c r="E14" i="16"/>
  <c r="E26" i="1"/>
  <c r="C4" i="1"/>
  <c r="E18" i="1"/>
  <c r="J21" i="1"/>
  <c r="D29" i="1"/>
  <c r="E4" i="1"/>
  <c r="C14" i="16"/>
  <c r="G18" i="15"/>
  <c r="F34" i="16"/>
  <c r="F10" i="14"/>
  <c r="C8" i="1"/>
  <c r="E41" i="1"/>
  <c r="E18" i="14"/>
  <c r="C13" i="14"/>
  <c r="G14" i="15"/>
  <c r="H11" i="16"/>
  <c r="E5" i="1"/>
  <c r="J5" i="1"/>
  <c r="J14" i="16"/>
  <c r="F39" i="15"/>
  <c r="I29" i="1"/>
  <c r="E4" i="15"/>
  <c r="E37" i="1"/>
  <c r="G36" i="1"/>
  <c r="C34" i="1"/>
  <c r="K18" i="16"/>
  <c r="G21" i="14"/>
  <c r="D18" i="1"/>
  <c r="D4" i="1"/>
  <c r="I14" i="14"/>
  <c r="D23" i="14"/>
  <c r="I33" i="1"/>
  <c r="F29" i="1"/>
  <c r="I26" i="1"/>
  <c r="K11" i="16"/>
  <c r="C12" i="14"/>
  <c r="H23" i="15"/>
  <c r="G5" i="1"/>
  <c r="H17" i="16"/>
  <c r="F32" i="1"/>
  <c r="G35" i="15"/>
  <c r="G23" i="15"/>
  <c r="G30" i="15"/>
  <c r="G16" i="16"/>
  <c r="C32" i="1"/>
  <c r="G40" i="1"/>
  <c r="F18" i="16"/>
  <c r="F14" i="15"/>
  <c r="F7" i="14"/>
  <c r="I34" i="16"/>
  <c r="F22" i="1"/>
  <c r="G41" i="1"/>
  <c r="I41" i="1"/>
  <c r="D38" i="15"/>
  <c r="G20" i="1"/>
  <c r="H4" i="15"/>
  <c r="F20" i="15"/>
  <c r="C22" i="1"/>
  <c r="C20" i="1"/>
  <c r="J30" i="1"/>
  <c r="G29" i="1"/>
  <c r="H38" i="1"/>
  <c r="H30" i="1"/>
  <c r="H22" i="1"/>
  <c r="J14" i="1"/>
  <c r="F23" i="15"/>
  <c r="F34" i="1"/>
  <c r="E17" i="16"/>
  <c r="D18" i="15"/>
  <c r="H13" i="14"/>
  <c r="H18" i="14"/>
  <c r="D20" i="15"/>
  <c r="C38" i="15"/>
  <c r="H16" i="1"/>
  <c r="G18" i="16"/>
  <c r="H20" i="1"/>
  <c r="C26" i="1"/>
  <c r="F18" i="15"/>
  <c r="I10" i="14"/>
  <c r="D31" i="15"/>
  <c r="E20" i="14"/>
  <c r="F7" i="1"/>
  <c r="D40" i="1"/>
  <c r="K34" i="16"/>
  <c r="G27" i="15"/>
  <c r="C11" i="1"/>
  <c r="C33" i="1"/>
  <c r="G20" i="14"/>
  <c r="C16" i="16"/>
  <c r="E27" i="15"/>
  <c r="I20" i="1"/>
  <c r="F13" i="14"/>
  <c r="D14" i="1"/>
  <c r="E39" i="15"/>
  <c r="H14" i="14"/>
  <c r="F18" i="1"/>
  <c r="G34" i="15"/>
  <c r="F30" i="1"/>
  <c r="C9" i="14"/>
  <c r="G10" i="16"/>
  <c r="H9" i="14"/>
  <c r="I35" i="16"/>
  <c r="J28" i="1"/>
  <c r="C34" i="16"/>
  <c r="H24" i="15"/>
  <c r="D16" i="1"/>
  <c r="I33" i="15"/>
  <c r="I16" i="15"/>
  <c r="I9" i="15"/>
  <c r="I17" i="15"/>
  <c r="I38" i="15"/>
  <c r="I21" i="15"/>
  <c r="I39" i="15"/>
  <c r="I13" i="15"/>
  <c r="I20" i="15"/>
  <c r="I23" i="15"/>
  <c r="I30" i="15"/>
  <c r="I10" i="15"/>
  <c r="I7" i="15"/>
  <c r="I24" i="15"/>
  <c r="I26" i="15"/>
  <c r="I27" i="15"/>
  <c r="I14" i="15"/>
  <c r="I37" i="15"/>
  <c r="I35" i="15"/>
  <c r="I34" i="15"/>
  <c r="I4" i="15"/>
  <c r="I5" i="15"/>
  <c r="I28" i="15"/>
  <c r="I8" i="15"/>
  <c r="I11" i="15"/>
  <c r="I31" i="15"/>
  <c r="I19" i="15"/>
  <c r="I18" i="15"/>
  <c r="I12" i="15"/>
  <c r="F6" i="1" l="1"/>
  <c r="E31" i="1"/>
  <c r="J9" i="1"/>
  <c r="I31" i="1"/>
  <c r="E9" i="1"/>
  <c r="D17" i="1"/>
  <c r="E35" i="1"/>
  <c r="C12" i="1"/>
  <c r="C6" i="14"/>
  <c r="D16" i="14"/>
  <c r="F22" i="14"/>
  <c r="G16" i="14"/>
  <c r="I25" i="14"/>
  <c r="D29" i="15"/>
  <c r="C32" i="15"/>
  <c r="E32" i="15"/>
  <c r="G15" i="15"/>
  <c r="J36" i="16"/>
  <c r="L36" i="16"/>
  <c r="D6" i="1"/>
  <c r="H6" i="1"/>
  <c r="C17" i="1"/>
  <c r="F17" i="1"/>
  <c r="F39" i="1"/>
  <c r="I12" i="1"/>
  <c r="J12" i="1"/>
  <c r="C19" i="14"/>
  <c r="E11" i="14"/>
  <c r="E22" i="14"/>
  <c r="D19" i="14"/>
  <c r="H19" i="14"/>
  <c r="I11" i="14"/>
  <c r="J16" i="14"/>
  <c r="H15" i="15"/>
  <c r="C15" i="15"/>
  <c r="H36" i="15"/>
  <c r="F40" i="15"/>
  <c r="G32" i="15"/>
  <c r="D35" i="1"/>
  <c r="G42" i="1"/>
  <c r="F35" i="1"/>
  <c r="E6" i="14"/>
  <c r="F9" i="1"/>
  <c r="C23" i="1"/>
  <c r="I42" i="1"/>
  <c r="D31" i="1"/>
  <c r="H42" i="1"/>
  <c r="I23" i="1"/>
  <c r="J35" i="1"/>
  <c r="D22" i="14"/>
  <c r="F25" i="14"/>
  <c r="J6" i="14"/>
  <c r="G9" i="1"/>
  <c r="C39" i="1"/>
  <c r="C31" i="1"/>
  <c r="H23" i="1"/>
  <c r="E6" i="1"/>
  <c r="G23" i="1"/>
  <c r="D11" i="14"/>
  <c r="H27" i="1"/>
  <c r="C16" i="14"/>
  <c r="C9" i="1"/>
  <c r="C6" i="1"/>
  <c r="D42" i="1"/>
  <c r="E27" i="1"/>
  <c r="D12" i="1"/>
  <c r="G27" i="1"/>
  <c r="H31" i="1"/>
  <c r="I35" i="1"/>
  <c r="J23" i="1"/>
  <c r="I6" i="14"/>
  <c r="G19" i="14"/>
  <c r="H32" i="15"/>
  <c r="E36" i="15"/>
  <c r="G36" i="15"/>
  <c r="D40" i="15"/>
  <c r="E40" i="15"/>
  <c r="C36" i="15"/>
  <c r="G6" i="1"/>
  <c r="H9" i="1"/>
  <c r="C35" i="1"/>
  <c r="E17" i="1"/>
  <c r="E39" i="1"/>
  <c r="E12" i="1"/>
  <c r="F31" i="1"/>
  <c r="F42" i="1"/>
  <c r="G39" i="1"/>
  <c r="C11" i="14"/>
  <c r="C22" i="14"/>
  <c r="E25" i="14"/>
  <c r="D25" i="14"/>
  <c r="G6" i="14"/>
  <c r="H11" i="14"/>
  <c r="H22" i="14"/>
  <c r="I16" i="14"/>
  <c r="J19" i="14"/>
  <c r="D36" i="15"/>
  <c r="C40" i="15"/>
  <c r="H22" i="15"/>
  <c r="E15" i="15"/>
  <c r="F25" i="15"/>
  <c r="E25" i="15"/>
  <c r="I36" i="16"/>
  <c r="C36" i="16"/>
  <c r="D9" i="1"/>
  <c r="C42" i="1"/>
  <c r="H12" i="1"/>
  <c r="C27" i="1"/>
  <c r="I27" i="1"/>
  <c r="J27" i="1"/>
  <c r="F16" i="14"/>
  <c r="G11" i="14"/>
  <c r="G22" i="14"/>
  <c r="I19" i="14"/>
  <c r="E22" i="15"/>
  <c r="G22" i="15"/>
  <c r="D25" i="15"/>
  <c r="C22" i="15"/>
  <c r="G40" i="15"/>
  <c r="E36" i="16"/>
  <c r="K36" i="16"/>
  <c r="F12" i="1"/>
  <c r="G31" i="1"/>
  <c r="I17" i="1"/>
  <c r="I39" i="1"/>
  <c r="G17" i="1"/>
  <c r="J17" i="1"/>
  <c r="J39" i="1"/>
  <c r="C25" i="14"/>
  <c r="E16" i="14"/>
  <c r="F6" i="14"/>
  <c r="H25" i="14"/>
  <c r="J11" i="14"/>
  <c r="J22" i="14"/>
  <c r="D22" i="15"/>
  <c r="H40" i="15"/>
  <c r="C25" i="15"/>
  <c r="H6" i="15"/>
  <c r="F22" i="15"/>
  <c r="F15" i="15"/>
  <c r="F36" i="16"/>
  <c r="H35" i="1"/>
  <c r="F23" i="1"/>
  <c r="D6" i="14"/>
  <c r="G25" i="14"/>
  <c r="I22" i="14"/>
  <c r="E6" i="15"/>
  <c r="D15" i="15"/>
  <c r="H29" i="15"/>
  <c r="F29" i="15"/>
  <c r="F32" i="15"/>
  <c r="C6" i="15"/>
  <c r="G25" i="15"/>
  <c r="G36" i="16"/>
  <c r="D23" i="1"/>
  <c r="D27" i="1"/>
  <c r="J31" i="1"/>
  <c r="J42" i="1"/>
  <c r="E19" i="14"/>
  <c r="H16" i="14"/>
  <c r="J25" i="14"/>
  <c r="H25" i="15"/>
  <c r="E29" i="15"/>
  <c r="G29" i="15"/>
  <c r="D32" i="15"/>
  <c r="F36" i="15"/>
  <c r="C29" i="15"/>
  <c r="H36" i="16"/>
  <c r="D36" i="16"/>
  <c r="I9" i="1"/>
  <c r="E42" i="1"/>
  <c r="G12" i="1"/>
  <c r="F19" i="14"/>
  <c r="I6" i="1"/>
  <c r="J6" i="1"/>
  <c r="D39" i="1"/>
  <c r="E23" i="1"/>
  <c r="F27" i="1"/>
  <c r="G35" i="1"/>
  <c r="H17" i="1"/>
  <c r="H39" i="1"/>
  <c r="F11" i="14"/>
  <c r="H6" i="14"/>
  <c r="G6" i="15"/>
  <c r="H12" i="16"/>
  <c r="J12" i="16"/>
  <c r="L12" i="16"/>
  <c r="F6" i="15"/>
  <c r="D6" i="15"/>
  <c r="C12" i="16"/>
  <c r="E12" i="16"/>
  <c r="G12" i="16"/>
  <c r="D12" i="16"/>
  <c r="I12" i="16"/>
  <c r="F12" i="16"/>
  <c r="K12" i="16"/>
  <c r="F15" i="16"/>
  <c r="E15" i="16"/>
  <c r="H15" i="16"/>
  <c r="I15" i="16"/>
  <c r="G15" i="16"/>
  <c r="J15" i="16"/>
  <c r="C15" i="16"/>
  <c r="K15" i="16"/>
  <c r="D15" i="16"/>
  <c r="L15" i="16"/>
  <c r="M26" i="16"/>
  <c r="M33" i="16"/>
  <c r="I25" i="15"/>
  <c r="K9" i="1"/>
  <c r="K20" i="1"/>
  <c r="K22" i="14"/>
  <c r="K11" i="1"/>
  <c r="K14" i="14"/>
  <c r="M18" i="16"/>
  <c r="K31" i="1"/>
  <c r="I22" i="15"/>
  <c r="K5" i="1"/>
  <c r="K16" i="14"/>
  <c r="K12" i="1"/>
  <c r="K33" i="1"/>
  <c r="K28" i="1"/>
  <c r="K29" i="1"/>
  <c r="K13" i="14"/>
  <c r="K19" i="14"/>
  <c r="K23" i="1"/>
  <c r="K7" i="1"/>
  <c r="K10" i="1"/>
  <c r="K17" i="14"/>
  <c r="K35" i="1"/>
  <c r="I32" i="15"/>
  <c r="M13" i="16"/>
  <c r="K19" i="1"/>
  <c r="I6" i="15"/>
  <c r="K36" i="1"/>
  <c r="I36" i="15"/>
  <c r="K4" i="14"/>
  <c r="K23" i="14"/>
  <c r="K26" i="1"/>
  <c r="K27" i="1"/>
  <c r="K12" i="14"/>
  <c r="K41" i="1"/>
  <c r="K6" i="14"/>
  <c r="K13" i="1"/>
  <c r="K39" i="1"/>
  <c r="K32" i="1"/>
  <c r="K11" i="14"/>
  <c r="M19" i="16"/>
  <c r="K24" i="14"/>
  <c r="I15" i="15"/>
  <c r="K21" i="1"/>
  <c r="M12" i="16"/>
  <c r="K42" i="1"/>
  <c r="M35" i="16"/>
  <c r="I40" i="15"/>
  <c r="K30" i="1"/>
  <c r="K6" i="1"/>
  <c r="K21" i="14"/>
  <c r="M15" i="16"/>
  <c r="K5" i="14"/>
  <c r="M17" i="16"/>
  <c r="K20" i="14"/>
  <c r="M34" i="16"/>
  <c r="I29" i="15"/>
  <c r="K10" i="14"/>
  <c r="K4" i="1"/>
  <c r="M14" i="16"/>
  <c r="K7" i="14"/>
  <c r="K34" i="1"/>
  <c r="K25" i="1"/>
  <c r="M36" i="16"/>
  <c r="M16" i="16"/>
  <c r="K18" i="1"/>
  <c r="K14" i="1"/>
  <c r="K16" i="1"/>
  <c r="K40" i="1"/>
  <c r="K24" i="1"/>
  <c r="K38" i="1"/>
  <c r="M10" i="16"/>
  <c r="K37" i="1"/>
  <c r="K22" i="1"/>
  <c r="K8" i="1"/>
  <c r="K8" i="14"/>
  <c r="K18" i="14"/>
  <c r="M11" i="16"/>
  <c r="K15" i="1"/>
  <c r="K25" i="14"/>
  <c r="K17" i="1"/>
  <c r="K15" i="14"/>
  <c r="K9" i="14"/>
  <c r="B26" i="7"/>
</calcChain>
</file>

<file path=xl/connections.xml><?xml version="1.0" encoding="utf-8"?>
<connections xmlns="http://schemas.openxmlformats.org/spreadsheetml/2006/main">
  <connection id="1" name="VDC PP ARCEP VUE_KPI_Arcep_FTTH" type="1" refreshedVersion="4" savePassword="1" deleted="1" saveData="1">
    <dbPr connection="" command=""/>
  </connection>
</connections>
</file>

<file path=xl/sharedStrings.xml><?xml version="1.0" encoding="utf-8"?>
<sst xmlns="http://schemas.openxmlformats.org/spreadsheetml/2006/main" count="507" uniqueCount="158">
  <si>
    <t>Maille OI</t>
  </si>
  <si>
    <t>Numérateur</t>
  </si>
  <si>
    <t>Dénominateur</t>
  </si>
  <si>
    <t>Taux</t>
  </si>
  <si>
    <t>PRODUCTION</t>
  </si>
  <si>
    <t>SERVICE APRES-VENTE</t>
  </si>
  <si>
    <t xml:space="preserve">Taux de signalisations sur les parcs livrés depuis moins d’un mois – responsabilité opérateur d’immeuble </t>
  </si>
  <si>
    <t xml:space="preserve">Taux de non-respect de la date de livraison de l’accès – mode OI </t>
  </si>
  <si>
    <t xml:space="preserve">Taux de commandes qui font l’objet d’un réapprovisionnement à froid </t>
  </si>
  <si>
    <t xml:space="preserve">En cas de réapprovisionnement à froid, délai de communication d’une nouvelle route optique sans lourds travaux de génie civil – 80e centile </t>
  </si>
  <si>
    <t xml:space="preserve">En cas de réapprovisionnement à froid, délai de communication d’une nouvelle route optique avec lourds travaux de génie civil – 80e centile </t>
  </si>
  <si>
    <t>Taux de non-respect de la date de livraison du point de branchement optique (PBO)</t>
  </si>
  <si>
    <t xml:space="preserve">Délai de livraison d’un lien PRDM-PM (première commande) – 95e centile* </t>
  </si>
  <si>
    <t xml:space="preserve">Délai de livraison d’un lien PRDM-PM (commandes suivantes) – 95e centile* </t>
  </si>
  <si>
    <t>Délai de livraison d’un lien PRDM-PM (toute commande) – 95e centile</t>
  </si>
  <si>
    <t xml:space="preserve">Taux de non-respect du délai contractuel de livraison des liens PRDM-PM </t>
  </si>
  <si>
    <t xml:space="preserve">Taux de non-respect du délai de rétablissement sur le segment PBO-DTIo </t>
  </si>
  <si>
    <t xml:space="preserve">Délai de rétablissement sur le segment PBO-DTIo – 95e centile </t>
  </si>
  <si>
    <t xml:space="preserve">Taux de non-respect du délai de rétablissement sur le segment PM-PBO </t>
  </si>
  <si>
    <t xml:space="preserve">Délai de rétablissement sur le segment PM-PBO – 95e centile </t>
  </si>
  <si>
    <t xml:space="preserve">Taux de non-respect de la garantie du temps de rétablissement 10 heures ouvrées PRDM-PM </t>
  </si>
  <si>
    <t xml:space="preserve">Délai moyen de rétablissement sur le segment PRDM-PM </t>
  </si>
  <si>
    <t xml:space="preserve">Taux de signalisations sur parc (NRO-DTIO) sur une période d’un mois </t>
  </si>
  <si>
    <t xml:space="preserve">Taux de réitération des interruptions de services sur le segment PM-PBO </t>
  </si>
  <si>
    <t>Taux de non respect de la date de livraison de l'accès avec GTR 4HO/HNO – mode OI</t>
  </si>
  <si>
    <t>Délai moyen de livraison de l'accès avec GTR 4HO/HNO – mode OI</t>
  </si>
  <si>
    <t>Taux de respect du délai de rétablissement</t>
  </si>
  <si>
    <t>Délai moyen de rétablissement des incidents GTR 10HO</t>
  </si>
  <si>
    <t>Délai moyen de rétablissement des incidents GTR 4HO/HNO</t>
  </si>
  <si>
    <t>Taux de respect de l'interruption maximum de services des accès GTR 10HO</t>
  </si>
  <si>
    <t>Taux de respect de l'interruption maximum de services des accès GTR 4HO/HNO</t>
  </si>
  <si>
    <t>Taux moyen d'indisponibilité du parc des accès GTR 10HO</t>
  </si>
  <si>
    <t>Taux moyen d'indisponibilité du parc des accès GTR 4HO/HNO</t>
  </si>
  <si>
    <t>Taux d'échec d'accès à la boucle locale optique mutualisée - cause OI</t>
  </si>
  <si>
    <t>Taux d'indisponibilité de l'assistance téléphonique</t>
  </si>
  <si>
    <t>HEBERGEMENT</t>
  </si>
  <si>
    <t xml:space="preserve">Taux de respect du délai contractuel de livraison de la prestation d'hébergement </t>
  </si>
  <si>
    <t>Taux de respect du délai contractuel d'étude de faisabilité de la réalisation de la prestation d'hébergement</t>
  </si>
  <si>
    <t>Interruption maximum de services (annuelle)</t>
  </si>
  <si>
    <t>Taux de réitération des interruptions de services sur le segment PRDM-PM</t>
  </si>
  <si>
    <t>(Facultatif) - Taux de malfaçons du raccordement final en mode STOC</t>
  </si>
  <si>
    <t>(Facultatif) - Taux de malfaçons du raccordement final en mode OI</t>
  </si>
  <si>
    <t>Taux de malfaçons du raccordement final (malfaçons constatées sur le raccordement final lorsqu'il est effectué)</t>
  </si>
  <si>
    <t>Délai d'envoi du compte-rendu de sous-traitance par l'OC</t>
  </si>
  <si>
    <t xml:space="preserve"> Délai d'envoi du compte-rendu de mise en service commerciale de la ligne par l'OC</t>
  </si>
  <si>
    <t>Taux de commande qui font l'objet d'un réapprovisionnement à chaud - Origine OI et OC</t>
  </si>
  <si>
    <t>Taux de signalisation effectuée à tort par un opérateur commercial</t>
  </si>
  <si>
    <t>Indicateurs</t>
  </si>
  <si>
    <t>Commentaire Opérateur</t>
  </si>
  <si>
    <t>Annexe 2-1</t>
  </si>
  <si>
    <t>Numérateur :</t>
  </si>
  <si>
    <t>Dénominateur :</t>
  </si>
  <si>
    <t>Annexe 2-2</t>
  </si>
  <si>
    <t>Annexe 2-3</t>
  </si>
  <si>
    <t>Code opérateur L.33-1 (2 à 5 caractères)</t>
  </si>
  <si>
    <t>Contacts</t>
  </si>
  <si>
    <t>TCHIBOUKDJIAN Victor</t>
  </si>
  <si>
    <t>Nom de l'opérateur d'infrastructure</t>
  </si>
  <si>
    <t>Tableur de restitution des indicateurs de qualité de service prévus par la décision n°2020-1432</t>
  </si>
  <si>
    <r>
      <t xml:space="preserve">01 40 47 71 77 </t>
    </r>
    <r>
      <rPr>
        <i/>
        <sz val="10"/>
        <color indexed="8"/>
        <rFont val="Calibri"/>
        <family val="2"/>
        <scheme val="minor"/>
      </rPr>
      <t>(Indicateurs spécifiques au marché entreprises)</t>
    </r>
  </si>
  <si>
    <t>Le questionnaire renseigné est à retourner au plus tard 30 jours après la fin du mois à cette adresse.</t>
  </si>
  <si>
    <t>Retour du tableur</t>
  </si>
  <si>
    <t>Liens vers les différents onglets</t>
  </si>
  <si>
    <t>Guide</t>
  </si>
  <si>
    <t>Annexe 3</t>
  </si>
  <si>
    <t>Valeurs brutes</t>
  </si>
  <si>
    <t>Maille d'appréciation</t>
  </si>
  <si>
    <r>
      <rPr>
        <b/>
        <sz val="11"/>
        <color theme="1"/>
        <rFont val="Calibri"/>
        <family val="2"/>
        <scheme val="minor"/>
      </rPr>
      <t xml:space="preserve">Maille d'appréciation : </t>
    </r>
    <r>
      <rPr>
        <sz val="11"/>
        <color theme="1"/>
        <rFont val="Calibri"/>
        <family val="2"/>
        <scheme val="minor"/>
      </rPr>
      <t xml:space="preserve">
Ensemble des zones de confinancement qui remplissent les critères suivants :
</t>
    </r>
    <r>
      <rPr>
        <b/>
        <i/>
        <sz val="11"/>
        <color theme="1"/>
        <rFont val="Calibri"/>
        <family val="2"/>
        <scheme val="minor"/>
      </rPr>
      <t xml:space="preserve">1. </t>
    </r>
    <r>
      <rPr>
        <i/>
        <sz val="11"/>
        <color theme="1"/>
        <rFont val="Calibri"/>
        <family val="2"/>
        <scheme val="minor"/>
      </rPr>
      <t>80% des logements ou des locaux de la zone de confinancement sont raccordables</t>
    </r>
    <r>
      <rPr>
        <sz val="11"/>
        <color theme="1"/>
        <rFont val="Calibri"/>
        <family val="2"/>
        <scheme val="minor"/>
      </rPr>
      <t xml:space="preserve">
</t>
    </r>
    <r>
      <rPr>
        <b/>
        <i/>
        <sz val="11"/>
        <color theme="1"/>
        <rFont val="Calibri"/>
        <family val="2"/>
        <scheme val="minor"/>
      </rPr>
      <t xml:space="preserve">2. </t>
    </r>
    <r>
      <rPr>
        <i/>
        <sz val="11"/>
        <color theme="1"/>
        <rFont val="Calibri"/>
        <family val="2"/>
        <scheme val="minor"/>
      </rPr>
      <t>Le nombre de lignes activées à excéder au moins une fois 30% de la zone de cofinancement</t>
    </r>
  </si>
  <si>
    <t>Valeurs nettes</t>
  </si>
  <si>
    <t>Maille OI (offres commercialisées sur le marché de gros activé)</t>
  </si>
  <si>
    <t>Maille OI (offres commercialisées sur le marché de détail - Autofourniture)</t>
  </si>
  <si>
    <t>80e centile</t>
  </si>
  <si>
    <t>95e centile</t>
  </si>
  <si>
    <t>Délai moyen</t>
  </si>
  <si>
    <t>Délai d'envoi du compte-rendu de mise en service commerciale de la ligne par l'OC</t>
  </si>
  <si>
    <t>50e centile</t>
  </si>
  <si>
    <t>%</t>
  </si>
  <si>
    <t>Si la définition d'un indicateur est différente de celle indiquée dans le guide d'application et rappelée dans l'onglet "Guide", alors il est demandé de préciser et justifier ici les différences.</t>
  </si>
  <si>
    <t>Il est demandé ici de lister les références NRO ou PM (en ZTD-PHD) constituant la maille d'appréciation telle que définie dans la décision</t>
  </si>
  <si>
    <t>Référence des NRO constituant la maille d'appréciation (ZMD et ZTD-PBD)</t>
  </si>
  <si>
    <t>Référence des PM constituant la maille d'appréciation (ZTD-PHD)</t>
  </si>
  <si>
    <t>Sont à renseigner dans ces onglets les valeurs nettes (excluant le cas échéant certains cas et délais de gel) et les valeurs brutes (sans exclusion des cas et délais de gel)
Pour les annexes 2-1 et 2-2, les valeurs nettes renseignées sont celles servant à déterminer le respect par l'opérateur des seuils réglementaires.</t>
  </si>
  <si>
    <t>Définition :</t>
  </si>
  <si>
    <t>Bouygues Telecom</t>
  </si>
  <si>
    <t>Free</t>
  </si>
  <si>
    <t>Orange</t>
  </si>
  <si>
    <t>SFR</t>
  </si>
  <si>
    <t xml:space="preserve">… </t>
  </si>
  <si>
    <t>Année mesurée</t>
  </si>
  <si>
    <t>Ex. format : 2021</t>
  </si>
  <si>
    <t>ROGUET Anne-Lou</t>
  </si>
  <si>
    <r>
      <t xml:space="preserve">01 40 47 71 43 </t>
    </r>
    <r>
      <rPr>
        <i/>
        <sz val="10"/>
        <color theme="1"/>
        <rFont val="Calibri"/>
        <family val="2"/>
        <scheme val="minor"/>
      </rPr>
      <t>(Indicateurs communs à tous les accès)</t>
    </r>
  </si>
  <si>
    <t>Ex. format : 
- restitution mensuelle (ex pour avril) : 4
- restitution trimestrielle : T2</t>
  </si>
  <si>
    <t>Mois/trimestre mesuré</t>
  </si>
  <si>
    <t>Renseigner un nombre entier</t>
  </si>
  <si>
    <t>Renseigner un pourcentage entre 0 et 100</t>
  </si>
  <si>
    <t>Pas de réponse attendue</t>
  </si>
  <si>
    <t>Renseigner une chaine de caractères</t>
  </si>
  <si>
    <t>Code couleur des cellules</t>
  </si>
  <si>
    <t>Annexe 3 - Détail par OC</t>
  </si>
  <si>
    <t>Définition différant du Guide d'Application</t>
  </si>
  <si>
    <t xml:space="preserve">Dénominateur : </t>
  </si>
  <si>
    <t>Renseigner un nombre arrondi à deux décimales</t>
  </si>
  <si>
    <t>QSfibre@arcep.fr</t>
  </si>
  <si>
    <t>N/A</t>
  </si>
  <si>
    <t>Moyenne de valeur</t>
  </si>
  <si>
    <t>OC</t>
  </si>
  <si>
    <t>maille</t>
  </si>
  <si>
    <t>type_valeur</t>
  </si>
  <si>
    <t>(vide)</t>
  </si>
  <si>
    <t>indicateur</t>
  </si>
  <si>
    <t>codeIndicateur</t>
  </si>
  <si>
    <t>unite</t>
  </si>
  <si>
    <t>Valeurs Nettes</t>
  </si>
  <si>
    <t>Valeur nationale, tous OI (FTEL et RIPS Orange) et OC confondus</t>
  </si>
  <si>
    <t>Délai de livraison d’un lien PRDM-PM (première commande) – 95e centile*</t>
  </si>
  <si>
    <t>vii</t>
  </si>
  <si>
    <t>Taux de non-respect du délai contractuel de livraison des liens PRDM-PM</t>
  </si>
  <si>
    <t>x</t>
  </si>
  <si>
    <t>Délai de livraison d’un lien PRDM-PM (commandes suivantes) – 95e centile*</t>
  </si>
  <si>
    <t>viii</t>
  </si>
  <si>
    <t>SFRA</t>
  </si>
  <si>
    <t>FREE</t>
  </si>
  <si>
    <t>FTEL</t>
  </si>
  <si>
    <t>Délai de rétablissement sur le segment PM-PBO – 95e centile</t>
  </si>
  <si>
    <t>xiv</t>
  </si>
  <si>
    <t>Taux de non-respect du délai de rétablissement sur le segment PM-PBO</t>
  </si>
  <si>
    <t>xiii</t>
  </si>
  <si>
    <t>Taux de réitération des interruptions de services sur le segment PM-PBO</t>
  </si>
  <si>
    <t>xviii</t>
  </si>
  <si>
    <t>Taux de signalisations sur les parcs livrés depuis moins d'un mois – responsabilité opérateur d'immeuble</t>
  </si>
  <si>
    <t>i</t>
  </si>
  <si>
    <t>Taux de signalisations sur parc (NRO-DTIO) sur une période d'un mois</t>
  </si>
  <si>
    <t>xvii</t>
  </si>
  <si>
    <t>Délai d envoi du compte-rendu de sous-traitance par l OC</t>
  </si>
  <si>
    <t>xxx</t>
  </si>
  <si>
    <t>Délai d envoi du compte-rendu de mise en service commerciale de la ligne par l OC</t>
  </si>
  <si>
    <t>xxxi</t>
  </si>
  <si>
    <t>Taux de commande qui font l objet d un réapprovisionnement à chaud - Origine OI et OC</t>
  </si>
  <si>
    <t>xxxii</t>
  </si>
  <si>
    <t>Taux de malfaçons du raccordement final (malfaçons constatées sur le raccordement final lorsqu il est effectué)</t>
  </si>
  <si>
    <t>xxviii</t>
  </si>
  <si>
    <t>Taux de commandes qui font l’objet d’un réapprovisionnement à froid</t>
  </si>
  <si>
    <t>iii</t>
  </si>
  <si>
    <t>En cas de réapprovisionnement à froid, délai de communication d’une nouvelle route optique sans lourds travaux de génie civil – 80e centile</t>
  </si>
  <si>
    <t>iv</t>
  </si>
  <si>
    <t>En cas de réapprovisionnement à froid, délai de communication d’une nouvelle route optique avec lourds travaux de génie civil – 80e centile</t>
  </si>
  <si>
    <t>v</t>
  </si>
  <si>
    <t>Taux d échec d accès à la boucle locale optique mutualisée - cause OI</t>
  </si>
  <si>
    <t>xxix</t>
  </si>
  <si>
    <t>xxv</t>
  </si>
  <si>
    <t>xxvi</t>
  </si>
  <si>
    <t>xxxvi</t>
  </si>
  <si>
    <t>xxvii</t>
  </si>
  <si>
    <t>Taux d indisponibilité de l assistance téléphonique</t>
  </si>
  <si>
    <t>xxxiii</t>
  </si>
  <si>
    <t>xxiii</t>
  </si>
  <si>
    <t>xxiv</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</si>
</sst>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_-* #,##0.00\ _€_-;\-* #,##0.00\ _€_-;_-* &quot;-&quot;??\ _€_-;_-@_-"/>
  </numFmts>
  <fonts count="3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i/>
      <sz val="11"/>
      <color theme="1"/>
      <name val="Calibri"/>
      <family val="2"/>
      <scheme val="minor"/>
    </font>
    <font>
      <sz val="10"/>
      <name val="Arial"/>
      <family val="2"/>
    </font>
    <font>
      <u/>
      <sz val="11"/>
      <color theme="10"/>
      <name val="Calibri"/>
      <family val="2"/>
      <scheme val="minor"/>
    </font>
    <font>
      <sz val="10"/>
      <color theme="1"/>
      <name val="Calibri"/>
      <family val="2"/>
      <scheme val="minor"/>
    </font>
    <font>
      <i/>
      <sz val="10"/>
      <color theme="1"/>
      <name val="Calibri"/>
      <family val="2"/>
      <scheme val="minor"/>
    </font>
    <font>
      <sz val="11"/>
      <color rgb="FF9C6500"/>
      <name val="Calibri"/>
      <family val="2"/>
      <scheme val="minor"/>
    </font>
    <font>
      <sz val="10"/>
      <color indexed="64"/>
      <name val="Arial"/>
      <family val="2"/>
    </font>
    <font>
      <sz val="10"/>
      <name val="Verdana"/>
      <family val="2"/>
    </font>
    <font>
      <b/>
      <sz val="18"/>
      <color theme="3"/>
      <name val="Calibri Light"/>
      <family val="2"/>
      <scheme val="major"/>
    </font>
    <font>
      <sz val="11"/>
      <color indexed="8"/>
      <name val="Calibri"/>
      <family val="2"/>
    </font>
    <font>
      <sz val="10"/>
      <color indexed="12"/>
      <name val="Arial"/>
      <family val="2"/>
    </font>
    <font>
      <u/>
      <sz val="11"/>
      <color theme="10"/>
      <name val="Calibri"/>
      <family val="2"/>
    </font>
    <font>
      <sz val="11"/>
      <color rgb="FF000000"/>
      <name val="Calibri"/>
      <family val="2"/>
      <charset val="204"/>
    </font>
    <font>
      <b/>
      <u/>
      <sz val="10"/>
      <color rgb="FF0070C0"/>
      <name val="Calibri"/>
      <family val="2"/>
      <scheme val="minor"/>
    </font>
    <font>
      <i/>
      <sz val="10"/>
      <color indexed="8"/>
      <name val="Calibri"/>
      <family val="2"/>
      <scheme val="minor"/>
    </font>
    <font>
      <b/>
      <i/>
      <sz val="11"/>
      <color theme="1"/>
      <name val="Calibri"/>
      <family val="2"/>
      <scheme val="minor"/>
    </font>
    <font>
      <b/>
      <sz val="10"/>
      <color theme="1"/>
      <name val="Calibri"/>
      <family val="2"/>
      <scheme val="minor"/>
    </font>
    <font>
      <sz val="8"/>
      <color theme="1"/>
      <name val="Calibri"/>
      <family val="2"/>
      <scheme val="minor"/>
    </font>
    <font>
      <u/>
      <sz val="8"/>
      <color theme="1"/>
      <name val="Calibri"/>
      <family val="2"/>
      <scheme val="minor"/>
    </font>
    <font>
      <b/>
      <sz val="10"/>
      <color theme="0"/>
      <name val="Calibri"/>
      <family val="2"/>
      <scheme val="minor"/>
    </font>
    <font>
      <b/>
      <sz val="11"/>
      <color rgb="FFFF0000"/>
      <name val="Calibri"/>
      <family val="2"/>
      <scheme val="minor"/>
    </font>
    <font>
      <b/>
      <sz val="24"/>
      <color rgb="FFFF0000"/>
      <name val="Calibri"/>
      <family val="2"/>
      <scheme val="minor"/>
    </font>
  </fonts>
  <fills count="4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3" tint="0.39997558519241921"/>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1" tint="0.249977111117893"/>
        <bgColor indexed="64"/>
      </patternFill>
    </fill>
    <fill>
      <patternFill patternType="solid">
        <fgColor rgb="FFFEF9F8"/>
        <bgColor indexed="64"/>
      </patternFill>
    </fill>
  </fills>
  <borders count="4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ashed">
        <color auto="1"/>
      </left>
      <right style="dashed">
        <color auto="1"/>
      </right>
      <top style="dashed">
        <color auto="1"/>
      </top>
      <bottom style="dashed">
        <color auto="1"/>
      </bottom>
      <diagonal/>
    </border>
    <border>
      <left style="dashed">
        <color auto="1"/>
      </left>
      <right/>
      <top style="dashed">
        <color auto="1"/>
      </top>
      <bottom/>
      <diagonal/>
    </border>
    <border>
      <left/>
      <right/>
      <top style="dashed">
        <color auto="1"/>
      </top>
      <bottom/>
      <diagonal/>
    </border>
    <border>
      <left/>
      <right style="dashed">
        <color auto="1"/>
      </right>
      <top style="dashed">
        <color auto="1"/>
      </top>
      <bottom/>
      <diagonal/>
    </border>
    <border>
      <left style="dashed">
        <color auto="1"/>
      </left>
      <right/>
      <top/>
      <bottom/>
      <diagonal/>
    </border>
    <border>
      <left/>
      <right style="dashed">
        <color auto="1"/>
      </right>
      <top/>
      <bottom/>
      <diagonal/>
    </border>
    <border>
      <left style="dashed">
        <color auto="1"/>
      </left>
      <right/>
      <top/>
      <bottom style="dashed">
        <color auto="1"/>
      </bottom>
      <diagonal/>
    </border>
    <border>
      <left/>
      <right/>
      <top/>
      <bottom style="dashed">
        <color auto="1"/>
      </bottom>
      <diagonal/>
    </border>
    <border>
      <left/>
      <right style="dashed">
        <color auto="1"/>
      </right>
      <top/>
      <bottom style="dashed">
        <color auto="1"/>
      </bottom>
      <diagonal/>
    </border>
    <border>
      <left style="dashed">
        <color auto="1"/>
      </left>
      <right style="dashed">
        <color auto="1"/>
      </right>
      <top/>
      <bottom/>
      <diagonal/>
    </border>
    <border>
      <left style="dashed">
        <color auto="1"/>
      </left>
      <right style="dashed">
        <color auto="1"/>
      </right>
      <top/>
      <bottom style="dashed">
        <color auto="1"/>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dashed">
        <color auto="1"/>
      </left>
      <right style="dashed">
        <color auto="1"/>
      </right>
      <top style="dashed">
        <color auto="1"/>
      </top>
      <bottom/>
      <diagonal/>
    </border>
    <border>
      <left/>
      <right style="thin">
        <color indexed="64"/>
      </right>
      <top style="thin">
        <color indexed="64"/>
      </top>
      <bottom style="thin">
        <color indexed="64"/>
      </bottom>
      <diagonal/>
    </border>
    <border>
      <left style="dashed">
        <color auto="1"/>
      </left>
      <right style="hair">
        <color auto="1"/>
      </right>
      <top style="dashed">
        <color auto="1"/>
      </top>
      <bottom style="hair">
        <color auto="1"/>
      </bottom>
      <diagonal/>
    </border>
    <border>
      <left style="hair">
        <color auto="1"/>
      </left>
      <right style="dashed">
        <color auto="1"/>
      </right>
      <top style="dashed">
        <color auto="1"/>
      </top>
      <bottom style="hair">
        <color auto="1"/>
      </bottom>
      <diagonal/>
    </border>
    <border>
      <left style="dashed">
        <color auto="1"/>
      </left>
      <right style="hair">
        <color auto="1"/>
      </right>
      <top style="hair">
        <color auto="1"/>
      </top>
      <bottom style="hair">
        <color auto="1"/>
      </bottom>
      <diagonal/>
    </border>
    <border>
      <left style="hair">
        <color auto="1"/>
      </left>
      <right style="dashed">
        <color auto="1"/>
      </right>
      <top style="hair">
        <color auto="1"/>
      </top>
      <bottom style="hair">
        <color auto="1"/>
      </bottom>
      <diagonal/>
    </border>
    <border>
      <left style="dashed">
        <color auto="1"/>
      </left>
      <right style="hair">
        <color auto="1"/>
      </right>
      <top style="hair">
        <color auto="1"/>
      </top>
      <bottom style="dashed">
        <color auto="1"/>
      </bottom>
      <diagonal/>
    </border>
    <border>
      <left style="hair">
        <color auto="1"/>
      </left>
      <right style="dashed">
        <color auto="1"/>
      </right>
      <top style="hair">
        <color auto="1"/>
      </top>
      <bottom style="dashed">
        <color auto="1"/>
      </bottom>
      <diagonal/>
    </border>
    <border>
      <left style="dashed">
        <color auto="1"/>
      </left>
      <right style="hair">
        <color auto="1"/>
      </right>
      <top style="dashed">
        <color auto="1"/>
      </top>
      <bottom style="dashed">
        <color auto="1"/>
      </bottom>
      <diagonal/>
    </border>
    <border>
      <left style="hair">
        <color auto="1"/>
      </left>
      <right style="dashed">
        <color auto="1"/>
      </right>
      <top style="dashed">
        <color auto="1"/>
      </top>
      <bottom style="dashed">
        <color auto="1"/>
      </bottom>
      <diagonal/>
    </border>
    <border>
      <left style="dashed">
        <color auto="1"/>
      </left>
      <right style="dashed">
        <color auto="1"/>
      </right>
      <top style="dashed">
        <color auto="1"/>
      </top>
      <bottom style="hair">
        <color auto="1"/>
      </bottom>
      <diagonal/>
    </border>
    <border>
      <left style="dashed">
        <color auto="1"/>
      </left>
      <right style="dashed">
        <color auto="1"/>
      </right>
      <top style="hair">
        <color auto="1"/>
      </top>
      <bottom style="dashed">
        <color auto="1"/>
      </bottom>
      <diagonal/>
    </border>
    <border>
      <left style="dashed">
        <color auto="1"/>
      </left>
      <right style="dashed">
        <color auto="1"/>
      </right>
      <top style="hair">
        <color auto="1"/>
      </top>
      <bottom style="hair">
        <color auto="1"/>
      </bottom>
      <diagonal/>
    </border>
    <border>
      <left style="dashed">
        <color auto="1"/>
      </left>
      <right/>
      <top style="hair">
        <color auto="1"/>
      </top>
      <bottom/>
      <diagonal/>
    </border>
    <border>
      <left style="thin">
        <color indexed="64"/>
      </left>
      <right style="dashed">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s>
  <cellStyleXfs count="247">
    <xf numFmtId="0" fontId="0" fillId="0" borderId="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5" borderId="4" applyNumberFormat="0" applyAlignment="0" applyProtection="0"/>
    <xf numFmtId="0" fontId="9" fillId="6" borderId="5" applyNumberFormat="0" applyAlignment="0" applyProtection="0"/>
    <xf numFmtId="0" fontId="10" fillId="6" borderId="4" applyNumberFormat="0" applyAlignment="0" applyProtection="0"/>
    <xf numFmtId="0" fontId="11" fillId="0" borderId="6" applyNumberFormat="0" applyFill="0" applyAlignment="0" applyProtection="0"/>
    <xf numFmtId="0" fontId="12" fillId="7" borderId="7" applyNumberFormat="0" applyAlignment="0" applyProtection="0"/>
    <xf numFmtId="0" fontId="13" fillId="0" borderId="0" applyNumberFormat="0" applyFill="0" applyBorder="0" applyAlignment="0" applyProtection="0"/>
    <xf numFmtId="0" fontId="1" fillId="8" borderId="8" applyNumberFormat="0" applyFont="0" applyAlignment="0" applyProtection="0"/>
    <xf numFmtId="0" fontId="14" fillId="0" borderId="0" applyNumberFormat="0" applyFill="0" applyBorder="0" applyAlignment="0" applyProtection="0"/>
    <xf numFmtId="0" fontId="15" fillId="0" borderId="9" applyNumberFormat="0" applyFill="0" applyAlignment="0" applyProtection="0"/>
    <xf numFmtId="0" fontId="16"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6"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6"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6"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6"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6"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9" fillId="0" borderId="0" applyNumberFormat="0" applyFill="0" applyBorder="0" applyAlignment="0" applyProtection="0"/>
    <xf numFmtId="164" fontId="1" fillId="0" borderId="0" applyFont="0" applyFill="0" applyBorder="0" applyAlignment="0" applyProtection="0"/>
    <xf numFmtId="0" fontId="18" fillId="0" borderId="0"/>
    <xf numFmtId="0" fontId="22" fillId="4"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24" fillId="0" borderId="0"/>
    <xf numFmtId="0" fontId="1" fillId="0" borderId="0"/>
    <xf numFmtId="0" fontId="25" fillId="0" borderId="0" applyNumberFormat="0" applyFill="0" applyBorder="0" applyAlignment="0" applyProtection="0"/>
    <xf numFmtId="0" fontId="18" fillId="0" borderId="0"/>
    <xf numFmtId="0" fontId="24" fillId="0" borderId="0"/>
    <xf numFmtId="0" fontId="24" fillId="0" borderId="0"/>
    <xf numFmtId="0" fontId="24" fillId="0" borderId="0"/>
    <xf numFmtId="0" fontId="2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6" fillId="12" borderId="0" applyNumberFormat="0" applyBorder="0" applyAlignment="0" applyProtection="0"/>
    <xf numFmtId="0" fontId="16" fillId="12" borderId="0" applyNumberFormat="0" applyBorder="0" applyAlignment="0" applyProtection="0"/>
    <xf numFmtId="0" fontId="16" fillId="16" borderId="0" applyNumberFormat="0" applyBorder="0" applyAlignment="0" applyProtection="0"/>
    <xf numFmtId="0" fontId="16" fillId="16" borderId="0" applyNumberFormat="0" applyBorder="0" applyAlignment="0" applyProtection="0"/>
    <xf numFmtId="0" fontId="16" fillId="20" borderId="0" applyNumberFormat="0" applyBorder="0" applyAlignment="0" applyProtection="0"/>
    <xf numFmtId="0" fontId="16" fillId="20" borderId="0" applyNumberFormat="0" applyBorder="0" applyAlignment="0" applyProtection="0"/>
    <xf numFmtId="0" fontId="16" fillId="24" borderId="0" applyNumberFormat="0" applyBorder="0" applyAlignment="0" applyProtection="0"/>
    <xf numFmtId="0" fontId="16" fillId="24" borderId="0" applyNumberFormat="0" applyBorder="0" applyAlignment="0" applyProtection="0"/>
    <xf numFmtId="0" fontId="16" fillId="28" borderId="0" applyNumberFormat="0" applyBorder="0" applyAlignment="0" applyProtection="0"/>
    <xf numFmtId="0" fontId="16" fillId="28" borderId="0" applyNumberFormat="0" applyBorder="0" applyAlignment="0" applyProtection="0"/>
    <xf numFmtId="0" fontId="16" fillId="32" borderId="0" applyNumberFormat="0" applyBorder="0" applyAlignment="0" applyProtection="0"/>
    <xf numFmtId="0" fontId="16" fillId="32" borderId="0" applyNumberFormat="0" applyBorder="0" applyAlignment="0" applyProtection="0"/>
    <xf numFmtId="0" fontId="16" fillId="9" borderId="0" applyNumberFormat="0" applyBorder="0" applyAlignment="0" applyProtection="0"/>
    <xf numFmtId="0" fontId="16" fillId="9" borderId="0" applyNumberFormat="0" applyBorder="0" applyAlignment="0" applyProtection="0"/>
    <xf numFmtId="0" fontId="16" fillId="13" borderId="0" applyNumberFormat="0" applyBorder="0" applyAlignment="0" applyProtection="0"/>
    <xf numFmtId="0" fontId="16" fillId="13" borderId="0" applyNumberFormat="0" applyBorder="0" applyAlignment="0" applyProtection="0"/>
    <xf numFmtId="0" fontId="16" fillId="17" borderId="0" applyNumberFormat="0" applyBorder="0" applyAlignment="0" applyProtection="0"/>
    <xf numFmtId="0" fontId="16" fillId="17" borderId="0" applyNumberFormat="0" applyBorder="0" applyAlignment="0" applyProtection="0"/>
    <xf numFmtId="0" fontId="16" fillId="21" borderId="0" applyNumberFormat="0" applyBorder="0" applyAlignment="0" applyProtection="0"/>
    <xf numFmtId="0" fontId="16" fillId="21" borderId="0" applyNumberFormat="0" applyBorder="0" applyAlignment="0" applyProtection="0"/>
    <xf numFmtId="0" fontId="16" fillId="25" borderId="0" applyNumberFormat="0" applyBorder="0" applyAlignment="0" applyProtection="0"/>
    <xf numFmtId="0" fontId="16" fillId="25" borderId="0" applyNumberFormat="0" applyBorder="0" applyAlignment="0" applyProtection="0"/>
    <xf numFmtId="0" fontId="16" fillId="29" borderId="0" applyNumberFormat="0" applyBorder="0" applyAlignment="0" applyProtection="0"/>
    <xf numFmtId="0" fontId="16" fillId="29" borderId="0" applyNumberFormat="0" applyBorder="0" applyAlignment="0" applyProtection="0"/>
    <xf numFmtId="0" fontId="13" fillId="0" borderId="0" applyNumberFormat="0" applyFill="0" applyBorder="0" applyAlignment="0" applyProtection="0"/>
    <xf numFmtId="0" fontId="13" fillId="0" borderId="0" applyNumberFormat="0" applyFill="0" applyBorder="0" applyAlignment="0" applyProtection="0"/>
    <xf numFmtId="0" fontId="10" fillId="6" borderId="4" applyNumberFormat="0" applyAlignment="0" applyProtection="0"/>
    <xf numFmtId="0" fontId="10" fillId="6" borderId="4" applyNumberFormat="0" applyAlignment="0" applyProtection="0"/>
    <xf numFmtId="0" fontId="11" fillId="0" borderId="6" applyNumberFormat="0" applyFill="0" applyAlignment="0" applyProtection="0"/>
    <xf numFmtId="0" fontId="11" fillId="0" borderId="6" applyNumberFormat="0" applyFill="0" applyAlignment="0" applyProtection="0"/>
    <xf numFmtId="0" fontId="1" fillId="8" borderId="8" applyNumberFormat="0" applyFont="0" applyAlignment="0" applyProtection="0"/>
    <xf numFmtId="0" fontId="8" fillId="5" borderId="4" applyNumberFormat="0" applyAlignment="0" applyProtection="0"/>
    <xf numFmtId="0" fontId="8" fillId="5" borderId="4" applyNumberFormat="0" applyAlignment="0" applyProtection="0"/>
    <xf numFmtId="0" fontId="26" fillId="0" borderId="0"/>
    <xf numFmtId="0" fontId="26" fillId="0" borderId="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27" fillId="0" borderId="0" applyNumberFormat="0" applyFill="0" applyBorder="0" applyAlignment="0" applyProtection="0"/>
    <xf numFmtId="0" fontId="7" fillId="3" borderId="0" applyNumberFormat="0" applyBorder="0" applyAlignment="0" applyProtection="0"/>
    <xf numFmtId="0" fontId="7" fillId="3" borderId="0" applyNumberFormat="0" applyBorder="0" applyAlignment="0" applyProtection="0"/>
    <xf numFmtId="0" fontId="28" fillId="0" borderId="0" applyNumberFormat="0" applyFill="0" applyBorder="0" applyAlignment="0" applyProtection="0">
      <alignment vertical="top"/>
      <protection locked="0"/>
    </xf>
    <xf numFmtId="0" fontId="22" fillId="4" borderId="0" applyNumberFormat="0" applyBorder="0" applyAlignment="0" applyProtection="0"/>
    <xf numFmtId="0" fontId="22" fillId="4" borderId="0" applyNumberFormat="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26" fillId="0" borderId="0"/>
    <xf numFmtId="0" fontId="1" fillId="0" borderId="0"/>
    <xf numFmtId="0" fontId="26" fillId="0" borderId="0"/>
    <xf numFmtId="0" fontId="18" fillId="0" borderId="0"/>
    <xf numFmtId="0" fontId="18"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26" fillId="0" borderId="0"/>
    <xf numFmtId="0" fontId="18" fillId="0" borderId="0"/>
    <xf numFmtId="0" fontId="18" fillId="0" borderId="0"/>
    <xf numFmtId="0" fontId="18" fillId="0" borderId="0"/>
    <xf numFmtId="0" fontId="23"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9" fontId="26" fillId="0" borderId="0" applyFont="0" applyFill="0" applyBorder="0" applyAlignment="0" applyProtection="0"/>
    <xf numFmtId="0" fontId="6" fillId="2" borderId="0" applyNumberFormat="0" applyBorder="0" applyAlignment="0" applyProtection="0"/>
    <xf numFmtId="0" fontId="6" fillId="2" borderId="0" applyNumberFormat="0" applyBorder="0" applyAlignment="0" applyProtection="0"/>
    <xf numFmtId="0" fontId="9" fillId="6" borderId="5" applyNumberFormat="0" applyAlignment="0" applyProtection="0"/>
    <xf numFmtId="0" fontId="9" fillId="6" borderId="5" applyNumberFormat="0" applyAlignment="0" applyProtection="0"/>
    <xf numFmtId="0" fontId="14" fillId="0" borderId="0" applyNumberFormat="0" applyFill="0" applyBorder="0" applyAlignment="0" applyProtection="0"/>
    <xf numFmtId="0" fontId="14" fillId="0" borderId="0" applyNumberFormat="0" applyFill="0" applyBorder="0" applyAlignment="0" applyProtection="0"/>
    <xf numFmtId="0" fontId="3" fillId="0" borderId="1" applyNumberFormat="0" applyFill="0" applyAlignment="0" applyProtection="0"/>
    <xf numFmtId="0" fontId="3" fillId="0" borderId="1" applyNumberFormat="0" applyFill="0" applyAlignment="0" applyProtection="0"/>
    <xf numFmtId="0" fontId="4" fillId="0" borderId="2"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5" fillId="0" borderId="0" applyNumberFormat="0" applyFill="0" applyBorder="0" applyAlignment="0" applyProtection="0"/>
    <xf numFmtId="0" fontId="15" fillId="0" borderId="9" applyNumberFormat="0" applyFill="0" applyAlignment="0" applyProtection="0"/>
    <xf numFmtId="0" fontId="15" fillId="0" borderId="9" applyNumberFormat="0" applyFill="0" applyAlignment="0" applyProtection="0"/>
    <xf numFmtId="0" fontId="12" fillId="7" borderId="7" applyNumberFormat="0" applyAlignment="0" applyProtection="0"/>
    <xf numFmtId="0" fontId="12" fillId="7" borderId="7" applyNumberFormat="0" applyAlignment="0" applyProtection="0"/>
    <xf numFmtId="0" fontId="27" fillId="0" borderId="0" applyNumberFormat="0" applyFill="0" applyBorder="0" applyAlignment="0" applyProtection="0"/>
    <xf numFmtId="164" fontId="1" fillId="0" borderId="0" applyFont="0" applyFill="0" applyBorder="0" applyAlignment="0" applyProtection="0"/>
    <xf numFmtId="0" fontId="24" fillId="0" borderId="0"/>
    <xf numFmtId="0" fontId="1" fillId="0" borderId="0"/>
    <xf numFmtId="0" fontId="23" fillId="0" borderId="0"/>
    <xf numFmtId="0" fontId="23" fillId="0" borderId="0"/>
    <xf numFmtId="0" fontId="23" fillId="0" borderId="0"/>
    <xf numFmtId="0" fontId="18" fillId="0" borderId="0"/>
    <xf numFmtId="0" fontId="1" fillId="0" borderId="0"/>
    <xf numFmtId="9" fontId="1" fillId="0" borderId="0" applyFont="0" applyFill="0" applyBorder="0" applyAlignment="0" applyProtection="0"/>
    <xf numFmtId="0" fontId="1" fillId="8" borderId="8" applyNumberFormat="0" applyFont="0" applyAlignment="0" applyProtection="0"/>
    <xf numFmtId="0" fontId="1" fillId="0" borderId="0"/>
    <xf numFmtId="9" fontId="1" fillId="0" borderId="0" applyFont="0" applyFill="0" applyBorder="0" applyAlignment="0" applyProtection="0"/>
    <xf numFmtId="9" fontId="18" fillId="0" borderId="0" applyFont="0" applyFill="0" applyBorder="0" applyAlignment="0" applyProtection="0"/>
    <xf numFmtId="0" fontId="18" fillId="0" borderId="0"/>
    <xf numFmtId="0" fontId="23" fillId="0" borderId="0"/>
    <xf numFmtId="0" fontId="23" fillId="0" borderId="0"/>
    <xf numFmtId="0" fontId="23" fillId="0" borderId="0"/>
    <xf numFmtId="0" fontId="24" fillId="0" borderId="0"/>
    <xf numFmtId="0" fontId="1" fillId="0" borderId="0"/>
    <xf numFmtId="0" fontId="18" fillId="0" borderId="0"/>
    <xf numFmtId="0" fontId="29" fillId="0" borderId="0"/>
    <xf numFmtId="9" fontId="1" fillId="0" borderId="0" applyFont="0" applyFill="0" applyBorder="0" applyAlignment="0" applyProtection="0"/>
    <xf numFmtId="9" fontId="18" fillId="0" borderId="0" applyFont="0" applyFill="0" applyBorder="0" applyAlignment="0" applyProtection="0"/>
    <xf numFmtId="0" fontId="1" fillId="0" borderId="0"/>
    <xf numFmtId="0" fontId="1" fillId="8" borderId="8" applyNumberFormat="0" applyFont="0" applyAlignment="0" applyProtection="0"/>
    <xf numFmtId="0" fontId="18" fillId="0" borderId="0"/>
    <xf numFmtId="0" fontId="18" fillId="0" borderId="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cellStyleXfs>
  <cellXfs count="141">
    <xf numFmtId="0" fontId="0" fillId="0" borderId="0" xfId="0"/>
    <xf numFmtId="0" fontId="20" fillId="33" borderId="15" xfId="0" applyFont="1" applyFill="1" applyBorder="1" applyAlignment="1">
      <alignment horizontal="left" vertical="center"/>
    </xf>
    <xf numFmtId="0" fontId="20" fillId="33" borderId="18" xfId="0" applyFont="1" applyFill="1" applyBorder="1" applyAlignment="1">
      <alignment horizontal="left" vertical="center" wrapText="1"/>
    </xf>
    <xf numFmtId="0" fontId="30" fillId="33" borderId="14" xfId="34" applyFont="1" applyFill="1" applyBorder="1" applyAlignment="1">
      <alignment horizontal="center" vertical="center" wrapText="1"/>
    </xf>
    <xf numFmtId="0" fontId="0" fillId="33" borderId="0" xfId="0" applyFill="1" applyAlignment="1">
      <alignment horizontal="center" vertical="center" wrapText="1"/>
    </xf>
    <xf numFmtId="0" fontId="34" fillId="0" borderId="10"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24" xfId="0" applyFont="1" applyBorder="1" applyAlignment="1">
      <alignment horizontal="center" vertical="center" wrapText="1"/>
    </xf>
    <xf numFmtId="0" fontId="34" fillId="0" borderId="20" xfId="0" applyFont="1" applyBorder="1" applyAlignment="1">
      <alignment horizontal="center" vertical="center" wrapText="1"/>
    </xf>
    <xf numFmtId="0" fontId="34" fillId="0" borderId="24" xfId="0" applyFont="1" applyBorder="1" applyAlignment="1">
      <alignment horizontal="center" vertical="center" wrapText="1"/>
    </xf>
    <xf numFmtId="0" fontId="33" fillId="33" borderId="14" xfId="0" applyFont="1" applyFill="1" applyBorder="1" applyAlignment="1">
      <alignment horizontal="center" vertical="center" wrapText="1"/>
    </xf>
    <xf numFmtId="0" fontId="0" fillId="33" borderId="0" xfId="0" applyFont="1" applyFill="1" applyBorder="1" applyAlignment="1">
      <alignment horizontal="center" vertical="center"/>
    </xf>
    <xf numFmtId="0" fontId="0" fillId="33" borderId="15" xfId="0" applyFont="1" applyFill="1" applyBorder="1" applyAlignment="1">
      <alignment horizontal="center" vertical="center"/>
    </xf>
    <xf numFmtId="0" fontId="20" fillId="33" borderId="15"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20" fillId="33" borderId="17" xfId="0" applyFont="1" applyFill="1" applyBorder="1" applyAlignment="1">
      <alignment horizontal="center" vertical="center"/>
    </xf>
    <xf numFmtId="0" fontId="21" fillId="33" borderId="15" xfId="0" applyFont="1" applyFill="1" applyBorder="1" applyAlignment="1">
      <alignment horizontal="center" vertical="center" wrapText="1"/>
    </xf>
    <xf numFmtId="0" fontId="0" fillId="33" borderId="13" xfId="0" applyFont="1" applyFill="1" applyBorder="1" applyAlignment="1">
      <alignment horizontal="center" vertical="center"/>
    </xf>
    <xf numFmtId="0" fontId="0" fillId="33" borderId="24" xfId="0" applyFont="1" applyFill="1" applyBorder="1" applyAlignment="1">
      <alignment horizontal="center" vertical="center"/>
    </xf>
    <xf numFmtId="0" fontId="20" fillId="33" borderId="20" xfId="0" applyFont="1" applyFill="1" applyBorder="1" applyAlignment="1">
      <alignment horizontal="center" vertical="center" wrapText="1"/>
    </xf>
    <xf numFmtId="0" fontId="20" fillId="33" borderId="10"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ill="1" applyAlignment="1">
      <alignment vertical="center"/>
    </xf>
    <xf numFmtId="0" fontId="0" fillId="0" borderId="0" xfId="0" applyFill="1" applyAlignment="1">
      <alignment horizontal="center" vertical="center" wrapText="1"/>
    </xf>
    <xf numFmtId="0" fontId="0" fillId="35" borderId="26" xfId="0" applyFill="1" applyBorder="1" applyAlignment="1">
      <alignment horizontal="center" vertical="center" wrapText="1"/>
    </xf>
    <xf numFmtId="0" fontId="0" fillId="42" borderId="11" xfId="0" applyFill="1" applyBorder="1" applyAlignment="1">
      <alignment horizontal="center" vertical="center" wrapText="1"/>
    </xf>
    <xf numFmtId="0" fontId="0" fillId="42" borderId="12" xfId="0" applyFill="1" applyBorder="1" applyAlignment="1">
      <alignment horizontal="center" vertical="center" wrapText="1"/>
    </xf>
    <xf numFmtId="0" fontId="0" fillId="42" borderId="13" xfId="0" applyFill="1" applyBorder="1" applyAlignment="1">
      <alignment horizontal="center" vertical="center" wrapText="1"/>
    </xf>
    <xf numFmtId="0" fontId="0" fillId="42" borderId="14" xfId="0" applyFill="1" applyBorder="1" applyAlignment="1">
      <alignment horizontal="center" vertical="center" wrapText="1"/>
    </xf>
    <xf numFmtId="0" fontId="0" fillId="42" borderId="0" xfId="0" applyFill="1" applyBorder="1" applyAlignment="1">
      <alignment horizontal="center" vertical="center" wrapText="1"/>
    </xf>
    <xf numFmtId="0" fontId="0" fillId="42" borderId="15" xfId="0" applyFill="1" applyBorder="1" applyAlignment="1">
      <alignment horizontal="center" vertical="center" wrapText="1"/>
    </xf>
    <xf numFmtId="0" fontId="0" fillId="42" borderId="16" xfId="0" applyFill="1" applyBorder="1" applyAlignment="1">
      <alignment horizontal="center" vertical="center" wrapText="1"/>
    </xf>
    <xf numFmtId="0" fontId="0" fillId="42" borderId="17" xfId="0" applyFill="1" applyBorder="1" applyAlignment="1">
      <alignment horizontal="center" vertical="center" wrapText="1"/>
    </xf>
    <xf numFmtId="0" fontId="0" fillId="42" borderId="18" xfId="0" applyFill="1" applyBorder="1" applyAlignment="1">
      <alignment horizontal="center" vertical="center" wrapText="1"/>
    </xf>
    <xf numFmtId="0" fontId="20" fillId="33" borderId="34" xfId="0" applyFont="1" applyFill="1" applyBorder="1" applyAlignment="1">
      <alignment horizontal="left" vertical="center" wrapText="1"/>
    </xf>
    <xf numFmtId="10" fontId="0" fillId="41" borderId="28" xfId="246" applyNumberFormat="1" applyFont="1" applyFill="1" applyBorder="1" applyAlignment="1">
      <alignment horizontal="center" vertical="center" wrapText="1"/>
    </xf>
    <xf numFmtId="0" fontId="20" fillId="33" borderId="36" xfId="0" applyFont="1" applyFill="1" applyBorder="1" applyAlignment="1">
      <alignment horizontal="left" vertical="center" wrapText="1"/>
    </xf>
    <xf numFmtId="0" fontId="0" fillId="36" borderId="28" xfId="0" applyFill="1" applyBorder="1" applyAlignment="1">
      <alignment horizontal="center" vertical="center" wrapText="1"/>
    </xf>
    <xf numFmtId="0" fontId="0" fillId="42" borderId="37" xfId="0" applyFill="1" applyBorder="1" applyAlignment="1">
      <alignment horizontal="center" vertical="center" wrapText="1"/>
    </xf>
    <xf numFmtId="0" fontId="20" fillId="33" borderId="35" xfId="0" applyFont="1" applyFill="1" applyBorder="1" applyAlignment="1">
      <alignment horizontal="left" vertical="center" wrapText="1"/>
    </xf>
    <xf numFmtId="0" fontId="0" fillId="43" borderId="36" xfId="0" applyFill="1" applyBorder="1" applyAlignment="1">
      <alignment vertical="center"/>
    </xf>
    <xf numFmtId="0" fontId="19" fillId="33" borderId="18" xfId="34" applyFont="1" applyFill="1" applyBorder="1" applyAlignment="1" applyProtection="1">
      <alignment horizontal="center" vertical="center"/>
      <protection locked="0"/>
    </xf>
    <xf numFmtId="0" fontId="19" fillId="33" borderId="10" xfId="34" applyFont="1" applyFill="1" applyBorder="1" applyAlignment="1" applyProtection="1">
      <alignment horizontal="center" vertical="center"/>
      <protection locked="0"/>
    </xf>
    <xf numFmtId="0" fontId="19" fillId="33" borderId="19" xfId="34" applyFill="1" applyBorder="1" applyAlignment="1" applyProtection="1">
      <alignment horizontal="center" vertical="center"/>
      <protection locked="0"/>
    </xf>
    <xf numFmtId="0" fontId="19" fillId="0" borderId="20" xfId="34" applyFill="1" applyBorder="1" applyAlignment="1" applyProtection="1">
      <alignment horizontal="center" vertical="center"/>
      <protection locked="0"/>
    </xf>
    <xf numFmtId="10" fontId="0" fillId="41" borderId="30" xfId="246" applyNumberFormat="1" applyFont="1" applyFill="1" applyBorder="1" applyAlignment="1" applyProtection="1">
      <alignment horizontal="center" vertical="center" wrapText="1"/>
      <protection locked="0"/>
    </xf>
    <xf numFmtId="10" fontId="0" fillId="41" borderId="31" xfId="246" applyNumberFormat="1" applyFont="1" applyFill="1" applyBorder="1" applyAlignment="1" applyProtection="1">
      <alignment horizontal="center" vertical="center" wrapText="1"/>
      <protection locked="0"/>
    </xf>
    <xf numFmtId="0" fontId="20" fillId="33" borderId="0" xfId="0" applyFont="1" applyFill="1" applyBorder="1" applyAlignment="1">
      <alignment horizontal="center" vertical="center"/>
    </xf>
    <xf numFmtId="49" fontId="0" fillId="0" borderId="0" xfId="0" applyNumberFormat="1" applyFill="1"/>
    <xf numFmtId="49" fontId="0" fillId="0" borderId="0" xfId="0" applyNumberFormat="1"/>
    <xf numFmtId="49" fontId="0" fillId="0" borderId="0" xfId="0" applyNumberFormat="1" applyFill="1" applyAlignment="1" applyProtection="1">
      <alignment horizontal="center" vertical="center"/>
    </xf>
    <xf numFmtId="49" fontId="15" fillId="38" borderId="38" xfId="0" applyNumberFormat="1" applyFont="1" applyFill="1" applyBorder="1" applyAlignment="1" applyProtection="1">
      <alignment horizontal="center" vertical="center"/>
    </xf>
    <xf numFmtId="49" fontId="15" fillId="40" borderId="25" xfId="0" applyNumberFormat="1" applyFont="1" applyFill="1" applyBorder="1" applyAlignment="1" applyProtection="1">
      <alignment horizontal="center" vertical="center"/>
    </xf>
    <xf numFmtId="49" fontId="0" fillId="43" borderId="20" xfId="0" applyNumberFormat="1" applyFill="1" applyBorder="1" applyAlignment="1" applyProtection="1">
      <alignment horizontal="center" vertical="center"/>
      <protection locked="0"/>
    </xf>
    <xf numFmtId="49" fontId="0" fillId="43" borderId="10" xfId="0" applyNumberFormat="1" applyFill="1" applyBorder="1" applyAlignment="1" applyProtection="1">
      <alignment horizontal="center" vertical="center"/>
      <protection locked="0"/>
    </xf>
    <xf numFmtId="49" fontId="0" fillId="43" borderId="0" xfId="0" applyNumberFormat="1" applyFill="1" applyProtection="1">
      <protection locked="0"/>
    </xf>
    <xf numFmtId="49" fontId="0" fillId="33" borderId="0" xfId="0" applyNumberFormat="1" applyFill="1" applyAlignment="1">
      <alignment horizontal="center" vertical="center"/>
    </xf>
    <xf numFmtId="49" fontId="15" fillId="39" borderId="24" xfId="0" applyNumberFormat="1" applyFont="1" applyFill="1" applyBorder="1" applyAlignment="1">
      <alignment horizontal="center" vertical="center"/>
    </xf>
    <xf numFmtId="49" fontId="0" fillId="43" borderId="34" xfId="0" applyNumberFormat="1" applyFill="1" applyBorder="1" applyAlignment="1" applyProtection="1">
      <alignment vertical="center"/>
      <protection locked="0"/>
    </xf>
    <xf numFmtId="49" fontId="0" fillId="43" borderId="34" xfId="0" applyNumberFormat="1" applyFill="1" applyBorder="1" applyAlignment="1" applyProtection="1">
      <alignment horizontal="center" vertical="center"/>
      <protection locked="0"/>
    </xf>
    <xf numFmtId="49" fontId="0" fillId="43" borderId="35" xfId="0" applyNumberFormat="1" applyFill="1" applyBorder="1" applyAlignment="1" applyProtection="1">
      <alignment vertical="center"/>
      <protection locked="0"/>
    </xf>
    <xf numFmtId="49" fontId="0" fillId="43" borderId="35" xfId="0" applyNumberFormat="1" applyFill="1" applyBorder="1" applyAlignment="1" applyProtection="1">
      <alignment horizontal="center" vertical="center"/>
      <protection locked="0"/>
    </xf>
    <xf numFmtId="49" fontId="15" fillId="0" borderId="10" xfId="0" applyNumberFormat="1" applyFont="1" applyBorder="1" applyAlignment="1">
      <alignment horizontal="center" vertical="center"/>
    </xf>
    <xf numFmtId="49" fontId="15" fillId="0" borderId="10" xfId="0" applyNumberFormat="1" applyFont="1" applyBorder="1" applyAlignment="1">
      <alignment horizontal="center" vertical="center" wrapText="1"/>
    </xf>
    <xf numFmtId="49" fontId="0" fillId="43" borderId="10" xfId="0" applyNumberFormat="1" applyFill="1" applyBorder="1" applyAlignment="1" applyProtection="1">
      <alignment vertical="center"/>
      <protection locked="0"/>
    </xf>
    <xf numFmtId="2" fontId="0" fillId="36" borderId="32" xfId="0" applyNumberFormat="1" applyFill="1" applyBorder="1" applyAlignment="1" applyProtection="1">
      <alignment horizontal="center" vertical="center" wrapText="1"/>
      <protection locked="0"/>
    </xf>
    <xf numFmtId="2" fontId="0" fillId="36" borderId="33" xfId="0" applyNumberFormat="1" applyFill="1" applyBorder="1" applyAlignment="1" applyProtection="1">
      <alignment horizontal="center" vertical="center" wrapText="1"/>
      <protection locked="0"/>
    </xf>
    <xf numFmtId="1" fontId="0" fillId="35" borderId="26" xfId="0" applyNumberFormat="1" applyFill="1" applyBorder="1" applyAlignment="1" applyProtection="1">
      <alignment horizontal="center" vertical="center" wrapText="1"/>
      <protection locked="0"/>
    </xf>
    <xf numFmtId="1" fontId="0" fillId="35" borderId="27" xfId="0" applyNumberFormat="1" applyFill="1" applyBorder="1" applyAlignment="1" applyProtection="1">
      <alignment horizontal="center" vertical="center" wrapText="1"/>
      <protection locked="0"/>
    </xf>
    <xf numFmtId="1" fontId="0" fillId="35" borderId="28" xfId="0" applyNumberFormat="1" applyFill="1" applyBorder="1" applyAlignment="1" applyProtection="1">
      <alignment horizontal="center" vertical="center" wrapText="1"/>
      <protection locked="0"/>
    </xf>
    <xf numFmtId="1" fontId="0" fillId="35" borderId="29" xfId="0" applyNumberFormat="1" applyFill="1" applyBorder="1" applyAlignment="1" applyProtection="1">
      <alignment horizontal="center" vertical="center" wrapText="1"/>
      <protection locked="0"/>
    </xf>
    <xf numFmtId="10" fontId="0" fillId="41" borderId="30" xfId="246" applyNumberFormat="1" applyFont="1" applyFill="1" applyBorder="1" applyAlignment="1" applyProtection="1">
      <alignment horizontal="center" vertical="center" wrapText="1"/>
    </xf>
    <xf numFmtId="0" fontId="19" fillId="33" borderId="0" xfId="34" applyFill="1" applyBorder="1" applyAlignment="1" applyProtection="1">
      <alignment horizontal="center" vertical="center" wrapText="1"/>
      <protection locked="0"/>
    </xf>
    <xf numFmtId="0" fontId="37" fillId="0" borderId="0" xfId="0" applyFont="1" applyFill="1" applyAlignment="1">
      <alignment horizontal="center" vertical="center" wrapText="1"/>
    </xf>
    <xf numFmtId="0" fontId="37" fillId="0" borderId="0" xfId="0" applyFont="1" applyFill="1" applyAlignment="1">
      <alignment horizontal="left" vertical="center"/>
    </xf>
    <xf numFmtId="0" fontId="37" fillId="0" borderId="0" xfId="0" applyFont="1"/>
    <xf numFmtId="0" fontId="38" fillId="0" borderId="0" xfId="0" applyFont="1" applyFill="1" applyBorder="1" applyAlignment="1">
      <alignment horizontal="center" vertical="center"/>
    </xf>
    <xf numFmtId="0" fontId="37" fillId="0" borderId="0" xfId="0" applyNumberFormat="1" applyFont="1" applyFill="1" applyAlignment="1">
      <alignment horizontal="left" vertical="center"/>
    </xf>
    <xf numFmtId="0" fontId="15" fillId="0" borderId="20" xfId="0" applyFont="1" applyBorder="1" applyAlignment="1">
      <alignment horizontal="center" vertical="center" wrapText="1"/>
    </xf>
    <xf numFmtId="0" fontId="15" fillId="0" borderId="0" xfId="0" applyFont="1" applyFill="1" applyAlignment="1">
      <alignment horizontal="center" vertical="center" wrapText="1"/>
    </xf>
    <xf numFmtId="2" fontId="0" fillId="36" borderId="26" xfId="0" applyNumberFormat="1" applyFill="1" applyBorder="1" applyAlignment="1" applyProtection="1">
      <alignment horizontal="center" vertical="center" wrapText="1"/>
      <protection locked="0"/>
    </xf>
    <xf numFmtId="2" fontId="0" fillId="36" borderId="27" xfId="0" applyNumberFormat="1" applyFill="1" applyBorder="1" applyAlignment="1" applyProtection="1">
      <alignment horizontal="center" vertical="center" wrapText="1"/>
      <protection locked="0"/>
    </xf>
    <xf numFmtId="2" fontId="0" fillId="36" borderId="30" xfId="0" applyNumberFormat="1" applyFill="1" applyBorder="1" applyAlignment="1" applyProtection="1">
      <alignment horizontal="center" vertical="center" wrapText="1"/>
      <protection locked="0"/>
    </xf>
    <xf numFmtId="2" fontId="0" fillId="36" borderId="31" xfId="0" applyNumberFormat="1" applyFill="1" applyBorder="1" applyAlignment="1" applyProtection="1">
      <alignment horizontal="center" vertical="center" wrapText="1"/>
      <protection locked="0"/>
    </xf>
    <xf numFmtId="0" fontId="0" fillId="0" borderId="0" xfId="0" applyAlignment="1">
      <alignment horizontal="center"/>
    </xf>
    <xf numFmtId="0" fontId="0" fillId="0" borderId="0" xfId="0" applyNumberFormat="1" applyFill="1" applyAlignment="1">
      <alignment horizontal="center" vertical="center"/>
    </xf>
    <xf numFmtId="49" fontId="0" fillId="43" borderId="35" xfId="0" applyNumberFormat="1" applyFill="1" applyBorder="1" applyAlignment="1" applyProtection="1">
      <alignment vertical="center" wrapText="1"/>
      <protection locked="0"/>
    </xf>
    <xf numFmtId="0" fontId="0" fillId="0" borderId="39" xfId="0" applyBorder="1"/>
    <xf numFmtId="0" fontId="0" fillId="0" borderId="40" xfId="0" applyBorder="1"/>
    <xf numFmtId="0" fontId="0" fillId="0" borderId="0" xfId="0" applyNumberFormat="1"/>
    <xf numFmtId="0" fontId="0" fillId="0" borderId="0" xfId="0" pivotButton="1"/>
    <xf numFmtId="2" fontId="0" fillId="36" borderId="26" xfId="0" applyNumberFormat="1" applyFill="1" applyBorder="1" applyAlignment="1" applyProtection="1">
      <alignment vertical="center" wrapText="1"/>
      <protection locked="0"/>
    </xf>
    <xf numFmtId="2" fontId="0" fillId="36" borderId="27" xfId="0" applyNumberFormat="1" applyFill="1" applyBorder="1" applyAlignment="1" applyProtection="1">
      <alignment vertical="center" wrapText="1"/>
      <protection locked="0"/>
    </xf>
    <xf numFmtId="2" fontId="0" fillId="36" borderId="30" xfId="0" applyNumberFormat="1" applyFill="1" applyBorder="1" applyAlignment="1" applyProtection="1">
      <alignment vertical="center" wrapText="1"/>
      <protection locked="0"/>
    </xf>
    <xf numFmtId="2" fontId="0" fillId="36" borderId="31" xfId="0" applyNumberFormat="1" applyFill="1" applyBorder="1" applyAlignment="1" applyProtection="1">
      <alignment vertical="center" wrapText="1"/>
      <protection locked="0"/>
    </xf>
    <xf numFmtId="0" fontId="36" fillId="37" borderId="11" xfId="0" applyFont="1" applyFill="1" applyBorder="1" applyAlignment="1">
      <alignment horizontal="center" vertical="center"/>
    </xf>
    <xf numFmtId="0" fontId="36" fillId="37" borderId="12" xfId="0" applyFont="1" applyFill="1" applyBorder="1" applyAlignment="1">
      <alignment horizontal="center" vertical="center"/>
    </xf>
    <xf numFmtId="0" fontId="36" fillId="37" borderId="13" xfId="0" applyFont="1" applyFill="1" applyBorder="1" applyAlignment="1">
      <alignment horizontal="center" vertical="center"/>
    </xf>
    <xf numFmtId="0" fontId="20" fillId="0" borderId="10" xfId="0" applyFont="1" applyBorder="1" applyAlignment="1">
      <alignment horizontal="center" vertical="center" wrapText="1"/>
    </xf>
    <xf numFmtId="0" fontId="15" fillId="33" borderId="24" xfId="0" applyFont="1" applyFill="1" applyBorder="1" applyAlignment="1">
      <alignment horizontal="center" vertical="center"/>
    </xf>
    <xf numFmtId="0" fontId="15" fillId="33" borderId="19" xfId="0" applyFont="1" applyFill="1" applyBorder="1" applyAlignment="1">
      <alignment horizontal="center" vertical="center"/>
    </xf>
    <xf numFmtId="0" fontId="15" fillId="33" borderId="20" xfId="0" applyFont="1" applyFill="1" applyBorder="1" applyAlignment="1">
      <alignment horizontal="center" vertical="center"/>
    </xf>
    <xf numFmtId="49" fontId="15" fillId="0" borderId="34" xfId="0" applyNumberFormat="1" applyFont="1" applyBorder="1" applyAlignment="1">
      <alignment horizontal="center" vertical="center"/>
    </xf>
    <xf numFmtId="49" fontId="15" fillId="0" borderId="35" xfId="0" applyNumberFormat="1" applyFont="1" applyBorder="1" applyAlignment="1">
      <alignment horizontal="center" vertical="center"/>
    </xf>
    <xf numFmtId="49" fontId="15" fillId="0" borderId="24" xfId="0" applyNumberFormat="1" applyFont="1" applyBorder="1" applyAlignment="1">
      <alignment horizontal="center" vertical="center"/>
    </xf>
    <xf numFmtId="49" fontId="15" fillId="0" borderId="20" xfId="0" applyNumberFormat="1" applyFont="1" applyBorder="1" applyAlignment="1">
      <alignment horizontal="center" vertical="center"/>
    </xf>
    <xf numFmtId="49" fontId="15" fillId="36" borderId="21" xfId="0" applyNumberFormat="1" applyFont="1" applyFill="1" applyBorder="1" applyAlignment="1">
      <alignment horizontal="center" vertical="center"/>
    </xf>
    <xf numFmtId="49" fontId="15" fillId="36" borderId="22" xfId="0" applyNumberFormat="1" applyFont="1" applyFill="1" applyBorder="1" applyAlignment="1">
      <alignment horizontal="center" vertical="center"/>
    </xf>
    <xf numFmtId="49" fontId="15" fillId="36" borderId="23" xfId="0" applyNumberFormat="1" applyFont="1" applyFill="1" applyBorder="1" applyAlignment="1">
      <alignment horizontal="center" vertical="center"/>
    </xf>
    <xf numFmtId="49" fontId="15" fillId="0" borderId="24" xfId="0" applyNumberFormat="1" applyFont="1" applyBorder="1" applyAlignment="1">
      <alignment horizontal="center" vertical="center" wrapText="1"/>
    </xf>
    <xf numFmtId="49" fontId="15" fillId="0" borderId="20" xfId="0" applyNumberFormat="1" applyFont="1" applyBorder="1" applyAlignment="1">
      <alignment horizontal="center" vertical="center" wrapText="1"/>
    </xf>
    <xf numFmtId="49" fontId="15" fillId="34" borderId="21" xfId="0" applyNumberFormat="1" applyFont="1" applyFill="1" applyBorder="1" applyAlignment="1">
      <alignment horizontal="center" vertical="center"/>
    </xf>
    <xf numFmtId="49" fontId="15" fillId="34" borderId="22" xfId="0" applyNumberFormat="1" applyFont="1" applyFill="1" applyBorder="1" applyAlignment="1">
      <alignment horizontal="center" vertical="center"/>
    </xf>
    <xf numFmtId="49" fontId="15" fillId="34" borderId="23" xfId="0" applyNumberFormat="1" applyFont="1" applyFill="1" applyBorder="1" applyAlignment="1">
      <alignment horizontal="center" vertical="center"/>
    </xf>
    <xf numFmtId="49" fontId="15" fillId="36" borderId="11" xfId="0" applyNumberFormat="1" applyFont="1" applyFill="1" applyBorder="1" applyAlignment="1">
      <alignment horizontal="center" vertical="center"/>
    </xf>
    <xf numFmtId="49" fontId="15" fillId="36" borderId="12" xfId="0" applyNumberFormat="1" applyFont="1" applyFill="1" applyBorder="1" applyAlignment="1">
      <alignment horizontal="center" vertical="center"/>
    </xf>
    <xf numFmtId="49" fontId="15" fillId="36" borderId="13" xfId="0" applyNumberFormat="1" applyFont="1" applyFill="1" applyBorder="1" applyAlignment="1">
      <alignment horizontal="center" vertical="center"/>
    </xf>
    <xf numFmtId="49" fontId="15" fillId="0" borderId="34" xfId="0" applyNumberFormat="1" applyFont="1" applyBorder="1" applyAlignment="1">
      <alignment horizontal="center" vertical="center" wrapText="1"/>
    </xf>
    <xf numFmtId="49" fontId="15" fillId="0" borderId="35" xfId="0" applyNumberFormat="1" applyFont="1" applyBorder="1" applyAlignment="1">
      <alignment horizontal="center" vertical="center" wrapText="1"/>
    </xf>
    <xf numFmtId="49" fontId="17" fillId="0" borderId="13" xfId="0" applyNumberFormat="1" applyFont="1" applyBorder="1" applyAlignment="1">
      <alignment horizontal="right" vertical="center" wrapText="1"/>
    </xf>
    <xf numFmtId="49" fontId="17" fillId="0" borderId="18" xfId="0" applyNumberFormat="1" applyFont="1" applyBorder="1" applyAlignment="1">
      <alignment horizontal="right" vertical="center" wrapText="1"/>
    </xf>
    <xf numFmtId="49" fontId="17" fillId="0" borderId="15" xfId="0" applyNumberFormat="1" applyFont="1" applyBorder="1" applyAlignment="1">
      <alignment horizontal="right" vertical="center" wrapText="1"/>
    </xf>
    <xf numFmtId="49" fontId="0" fillId="35" borderId="21" xfId="0" applyNumberFormat="1" applyFill="1" applyBorder="1" applyAlignment="1" applyProtection="1">
      <alignment horizontal="center" vertical="center" wrapText="1"/>
    </xf>
    <xf numFmtId="49" fontId="0" fillId="35" borderId="23" xfId="0" applyNumberFormat="1" applyFill="1" applyBorder="1" applyAlignment="1" applyProtection="1">
      <alignment horizontal="center" vertical="center" wrapText="1"/>
    </xf>
    <xf numFmtId="0" fontId="33" fillId="38" borderId="10" xfId="0" applyFont="1" applyFill="1" applyBorder="1" applyAlignment="1">
      <alignment horizontal="center" vertical="center" wrapText="1"/>
    </xf>
    <xf numFmtId="0" fontId="15" fillId="0" borderId="20" xfId="0" applyFont="1" applyBorder="1" applyAlignment="1">
      <alignment horizontal="center" vertical="center" wrapText="1"/>
    </xf>
    <xf numFmtId="0" fontId="15" fillId="0" borderId="10" xfId="0" applyFont="1" applyBorder="1" applyAlignment="1">
      <alignment horizontal="center" vertical="center" wrapText="1"/>
    </xf>
    <xf numFmtId="0" fontId="15" fillId="34" borderId="21" xfId="0" applyFont="1" applyFill="1" applyBorder="1" applyAlignment="1">
      <alignment horizontal="center" vertical="center" wrapText="1"/>
    </xf>
    <xf numFmtId="0" fontId="15" fillId="34" borderId="22" xfId="0" applyFont="1" applyFill="1" applyBorder="1" applyAlignment="1">
      <alignment horizontal="center" vertical="center" wrapText="1"/>
    </xf>
    <xf numFmtId="0" fontId="15" fillId="34" borderId="23" xfId="0" applyFont="1" applyFill="1" applyBorder="1" applyAlignment="1">
      <alignment horizontal="center" vertical="center" wrapText="1"/>
    </xf>
    <xf numFmtId="0" fontId="15" fillId="0" borderId="24" xfId="0" applyFont="1" applyBorder="1" applyAlignment="1">
      <alignment horizontal="center" vertical="center" wrapText="1"/>
    </xf>
    <xf numFmtId="0" fontId="15" fillId="0" borderId="19" xfId="0" applyFont="1" applyBorder="1" applyAlignment="1">
      <alignment horizontal="center" vertical="center" wrapText="1"/>
    </xf>
    <xf numFmtId="0" fontId="17" fillId="0" borderId="24" xfId="0" applyFont="1" applyBorder="1" applyAlignment="1">
      <alignment horizontal="center" vertical="center" wrapText="1"/>
    </xf>
    <xf numFmtId="0" fontId="17" fillId="0" borderId="19" xfId="0" applyFont="1" applyBorder="1" applyAlignment="1">
      <alignment horizontal="center" vertical="center" wrapText="1"/>
    </xf>
    <xf numFmtId="0" fontId="17" fillId="0" borderId="20" xfId="0" applyFont="1" applyBorder="1" applyAlignment="1">
      <alignment horizontal="center" vertical="center" wrapText="1"/>
    </xf>
    <xf numFmtId="0" fontId="15" fillId="34" borderId="14" xfId="0" applyFont="1" applyFill="1" applyBorder="1" applyAlignment="1">
      <alignment horizontal="center" vertical="center" wrapText="1"/>
    </xf>
    <xf numFmtId="0" fontId="15" fillId="34" borderId="0" xfId="0" applyFont="1" applyFill="1" applyBorder="1" applyAlignment="1">
      <alignment horizontal="center" vertical="center" wrapText="1"/>
    </xf>
    <xf numFmtId="0" fontId="15" fillId="34" borderId="11" xfId="0" applyFont="1" applyFill="1" applyBorder="1" applyAlignment="1">
      <alignment horizontal="center" vertical="center" wrapText="1"/>
    </xf>
    <xf numFmtId="0" fontId="15" fillId="34" borderId="12" xfId="0" applyFont="1" applyFill="1" applyBorder="1" applyAlignment="1">
      <alignment horizontal="center" vertical="center" wrapText="1"/>
    </xf>
  </cellXfs>
  <cellStyles count="247">
    <cellStyle name="20 % - Accent1" xfId="17" builtinId="30" customBuiltin="1"/>
    <cellStyle name="20 % - Accent1 2" xfId="79"/>
    <cellStyle name="20 % - Accent1 3" xfId="80"/>
    <cellStyle name="20 % - Accent2" xfId="20" builtinId="34" customBuiltin="1"/>
    <cellStyle name="20 % - Accent2 2" xfId="81"/>
    <cellStyle name="20 % - Accent2 3" xfId="82"/>
    <cellStyle name="20 % - Accent3" xfId="23" builtinId="38" customBuiltin="1"/>
    <cellStyle name="20 % - Accent3 2" xfId="83"/>
    <cellStyle name="20 % - Accent3 3" xfId="84"/>
    <cellStyle name="20 % - Accent4" xfId="26" builtinId="42" customBuiltin="1"/>
    <cellStyle name="20 % - Accent4 2" xfId="85"/>
    <cellStyle name="20 % - Accent4 3" xfId="86"/>
    <cellStyle name="20 % - Accent5" xfId="29" builtinId="46" customBuiltin="1"/>
    <cellStyle name="20 % - Accent5 2" xfId="87"/>
    <cellStyle name="20 % - Accent5 3" xfId="88"/>
    <cellStyle name="20 % - Accent6" xfId="32" builtinId="50" customBuiltin="1"/>
    <cellStyle name="20 % - Accent6 2" xfId="89"/>
    <cellStyle name="20 % - Accent6 3" xfId="90"/>
    <cellStyle name="40 % - Accent1" xfId="18" builtinId="31" customBuiltin="1"/>
    <cellStyle name="40 % - Accent1 2" xfId="91"/>
    <cellStyle name="40 % - Accent1 3" xfId="92"/>
    <cellStyle name="40 % - Accent2" xfId="21" builtinId="35" customBuiltin="1"/>
    <cellStyle name="40 % - Accent2 2" xfId="93"/>
    <cellStyle name="40 % - Accent2 3" xfId="94"/>
    <cellStyle name="40 % - Accent3" xfId="24" builtinId="39" customBuiltin="1"/>
    <cellStyle name="40 % - Accent3 2" xfId="95"/>
    <cellStyle name="40 % - Accent3 3" xfId="96"/>
    <cellStyle name="40 % - Accent4" xfId="27" builtinId="43" customBuiltin="1"/>
    <cellStyle name="40 % - Accent4 2" xfId="97"/>
    <cellStyle name="40 % - Accent4 3" xfId="98"/>
    <cellStyle name="40 % - Accent5" xfId="30" builtinId="47" customBuiltin="1"/>
    <cellStyle name="40 % - Accent5 2" xfId="99"/>
    <cellStyle name="40 % - Accent5 3" xfId="100"/>
    <cellStyle name="40 % - Accent6" xfId="33" builtinId="51" customBuiltin="1"/>
    <cellStyle name="40 % - Accent6 2" xfId="101"/>
    <cellStyle name="40 % - Accent6 3" xfId="102"/>
    <cellStyle name="60 % - Accent1 2" xfId="103"/>
    <cellStyle name="60 % - Accent1 3" xfId="104"/>
    <cellStyle name="60 % - Accent1 4" xfId="38"/>
    <cellStyle name="60 % - Accent2 2" xfId="105"/>
    <cellStyle name="60 % - Accent2 3" xfId="106"/>
    <cellStyle name="60 % - Accent2 4" xfId="39"/>
    <cellStyle name="60 % - Accent3 2" xfId="107"/>
    <cellStyle name="60 % - Accent3 3" xfId="108"/>
    <cellStyle name="60 % - Accent3 4" xfId="40"/>
    <cellStyle name="60 % - Accent4 2" xfId="109"/>
    <cellStyle name="60 % - Accent4 3" xfId="110"/>
    <cellStyle name="60 % - Accent4 4" xfId="41"/>
    <cellStyle name="60 % - Accent5 2" xfId="111"/>
    <cellStyle name="60 % - Accent5 3" xfId="112"/>
    <cellStyle name="60 % - Accent5 4" xfId="42"/>
    <cellStyle name="60 % - Accent6 2" xfId="113"/>
    <cellStyle name="60 % - Accent6 3" xfId="114"/>
    <cellStyle name="60 % - Accent6 4" xfId="43"/>
    <cellStyle name="Accent1" xfId="16" builtinId="29" customBuiltin="1"/>
    <cellStyle name="Accent1 2" xfId="115"/>
    <cellStyle name="Accent1 3" xfId="116"/>
    <cellStyle name="Accent2" xfId="19" builtinId="33" customBuiltin="1"/>
    <cellStyle name="Accent2 2" xfId="117"/>
    <cellStyle name="Accent2 3" xfId="118"/>
    <cellStyle name="Accent3" xfId="22" builtinId="37" customBuiltin="1"/>
    <cellStyle name="Accent3 2" xfId="119"/>
    <cellStyle name="Accent3 3" xfId="120"/>
    <cellStyle name="Accent4" xfId="25" builtinId="41" customBuiltin="1"/>
    <cellStyle name="Accent4 2" xfId="121"/>
    <cellStyle name="Accent4 3" xfId="122"/>
    <cellStyle name="Accent5" xfId="28" builtinId="45" customBuiltin="1"/>
    <cellStyle name="Accent5 2" xfId="123"/>
    <cellStyle name="Accent5 3" xfId="124"/>
    <cellStyle name="Accent6" xfId="31" builtinId="49" customBuiltin="1"/>
    <cellStyle name="Accent6 2" xfId="125"/>
    <cellStyle name="Accent6 3" xfId="126"/>
    <cellStyle name="Avertissement" xfId="12" builtinId="11" customBuiltin="1"/>
    <cellStyle name="Avertissement 2" xfId="127"/>
    <cellStyle name="Avertissement 3" xfId="128"/>
    <cellStyle name="Calcul" xfId="9" builtinId="22" customBuiltin="1"/>
    <cellStyle name="Calcul 2" xfId="129"/>
    <cellStyle name="Calcul 3" xfId="130"/>
    <cellStyle name="Cellule liée" xfId="10" builtinId="24" customBuiltin="1"/>
    <cellStyle name="Cellule liée 2" xfId="131"/>
    <cellStyle name="Cellule liée 3" xfId="132"/>
    <cellStyle name="Commentaire" xfId="13" builtinId="10" customBuiltin="1"/>
    <cellStyle name="Commentaire 2" xfId="133"/>
    <cellStyle name="Commentaire 2 2" xfId="219"/>
    <cellStyle name="Commentaire 3" xfId="234"/>
    <cellStyle name="Entrée" xfId="7" builtinId="20" customBuiltin="1"/>
    <cellStyle name="Entrée 2" xfId="134"/>
    <cellStyle name="Entrée 3" xfId="135"/>
    <cellStyle name="Excel Built-in Normal" xfId="136"/>
    <cellStyle name="Excel Built-in Normal 2" xfId="137"/>
    <cellStyle name="Hyperlink" xfId="138"/>
    <cellStyle name="Hyperlink 2" xfId="139"/>
    <cellStyle name="Hyperlink 2 2" xfId="140"/>
    <cellStyle name="Hyperlink 3" xfId="141"/>
    <cellStyle name="Hyperlink 3 2" xfId="142"/>
    <cellStyle name="Hyperlink 3 2 2" xfId="143"/>
    <cellStyle name="Hyperlink 3 3" xfId="144"/>
    <cellStyle name="Hyperlink 4" xfId="145"/>
    <cellStyle name="Hyperlink 4 2" xfId="146"/>
    <cellStyle name="Hyperlink 5" xfId="209"/>
    <cellStyle name="Insatisfaisant" xfId="6" builtinId="27" customBuiltin="1"/>
    <cellStyle name="Insatisfaisant 2" xfId="147"/>
    <cellStyle name="Insatisfaisant 3" xfId="148"/>
    <cellStyle name="Lien hypertexte" xfId="34" builtinId="8"/>
    <cellStyle name="Lien hypertexte 2" xfId="149"/>
    <cellStyle name="Milliers 2" xfId="210"/>
    <cellStyle name="Milliers 2 2" xfId="243"/>
    <cellStyle name="Milliers 3" xfId="242"/>
    <cellStyle name="Milliers 4" xfId="35"/>
    <cellStyle name="Neutre 2" xfId="150"/>
    <cellStyle name="Neutre 3" xfId="151"/>
    <cellStyle name="Neutre 4" xfId="37"/>
    <cellStyle name="Normal" xfId="0" builtinId="0"/>
    <cellStyle name="Normal 10" xfId="60"/>
    <cellStyle name="Normal 10 2" xfId="152"/>
    <cellStyle name="Normal 11" xfId="49"/>
    <cellStyle name="Normal 11 2" xfId="63"/>
    <cellStyle name="Normal 11 2 2" xfId="76"/>
    <cellStyle name="Normal 11 3" xfId="73"/>
    <cellStyle name="Normal 11 3 2" xfId="77"/>
    <cellStyle name="Normal 11 4" xfId="74"/>
    <cellStyle name="Normal 11 4 2" xfId="78"/>
    <cellStyle name="Normal 11 5" xfId="75"/>
    <cellStyle name="Normal 11 5 2" xfId="153"/>
    <cellStyle name="Normal 11 5 3" xfId="211"/>
    <cellStyle name="Normal 11 5 4" xfId="227"/>
    <cellStyle name="Normal 12" xfId="154"/>
    <cellStyle name="Normal 13" xfId="155"/>
    <cellStyle name="Normal 14" xfId="156"/>
    <cellStyle name="Normal 15" xfId="157"/>
    <cellStyle name="Normal 16" xfId="158"/>
    <cellStyle name="Normal 16 2" xfId="159"/>
    <cellStyle name="Normal 16 2 2" xfId="160"/>
    <cellStyle name="Normal 16 3" xfId="161"/>
    <cellStyle name="Normal 17" xfId="162"/>
    <cellStyle name="Normal 17 2" xfId="163"/>
    <cellStyle name="Normal 17 2 2" xfId="164"/>
    <cellStyle name="Normal 17 2 2 2" xfId="165"/>
    <cellStyle name="Normal 17 2 2 3" xfId="166"/>
    <cellStyle name="Normal 17 2 2 4" xfId="167"/>
    <cellStyle name="Normal 17 2 2 4 2" xfId="168"/>
    <cellStyle name="Normal 17 3" xfId="169"/>
    <cellStyle name="Normal 17 3 2" xfId="170"/>
    <cellStyle name="Normal 17 3 3" xfId="171"/>
    <cellStyle name="Normal 17 3 4" xfId="172"/>
    <cellStyle name="Normal 17 3 4 2" xfId="173"/>
    <cellStyle name="Normal 17 4" xfId="174"/>
    <cellStyle name="Normal 17 4 2" xfId="175"/>
    <cellStyle name="Normal 17 4 3" xfId="176"/>
    <cellStyle name="Normal 18" xfId="177"/>
    <cellStyle name="Normal 19" xfId="216"/>
    <cellStyle name="Normal 19 2" xfId="223"/>
    <cellStyle name="Normal 2" xfId="36"/>
    <cellStyle name="Normal 2 2" xfId="51"/>
    <cellStyle name="Normal 2 2 2" xfId="64"/>
    <cellStyle name="Normal 2 3" xfId="50"/>
    <cellStyle name="Normal 2 3 2" xfId="65"/>
    <cellStyle name="Normal 2 4" xfId="66"/>
    <cellStyle name="Normal 2 5" xfId="62"/>
    <cellStyle name="Normal 2 6" xfId="212"/>
    <cellStyle name="Normal 2 6 2" xfId="215"/>
    <cellStyle name="Normal 2 6 3" xfId="228"/>
    <cellStyle name="Normal 2 7" xfId="224"/>
    <cellStyle name="Normal 2 8" xfId="44"/>
    <cellStyle name="Normal 2_Synthèse_" xfId="59"/>
    <cellStyle name="Normal 20" xfId="235"/>
    <cellStyle name="Normal 20 2" xfId="238"/>
    <cellStyle name="Normal 21" xfId="239"/>
    <cellStyle name="Normal 21 2" xfId="244"/>
    <cellStyle name="Normal 3" xfId="45"/>
    <cellStyle name="Normal 3 2" xfId="52"/>
    <cellStyle name="Normal 3 2 2" xfId="67"/>
    <cellStyle name="Normal 3 2 3" xfId="220"/>
    <cellStyle name="Normal 3 3" xfId="47"/>
    <cellStyle name="Normal 3 4" xfId="178"/>
    <cellStyle name="Normal 3 5" xfId="213"/>
    <cellStyle name="Normal 3 6" xfId="217"/>
    <cellStyle name="Normal 3 7" xfId="225"/>
    <cellStyle name="Normal 4" xfId="46"/>
    <cellStyle name="Normal 4 2" xfId="53"/>
    <cellStyle name="Normal 4 2 2" xfId="68"/>
    <cellStyle name="Normal 4 2 3" xfId="233"/>
    <cellStyle name="Normal 4 3" xfId="48"/>
    <cellStyle name="Normal 4 4" xfId="179"/>
    <cellStyle name="Normal 4 5" xfId="214"/>
    <cellStyle name="Normal 4 6" xfId="226"/>
    <cellStyle name="Normal 4 7" xfId="230"/>
    <cellStyle name="Normal 5" xfId="54"/>
    <cellStyle name="Normal 5 2" xfId="69"/>
    <cellStyle name="Normal 5 3" xfId="180"/>
    <cellStyle name="Normal 6" xfId="55"/>
    <cellStyle name="Normal 6 2" xfId="70"/>
    <cellStyle name="Normal 6 3" xfId="181"/>
    <cellStyle name="Normal 6 4" xfId="229"/>
    <cellStyle name="Normal 6 4 2" xfId="236"/>
    <cellStyle name="Normal 7" xfId="56"/>
    <cellStyle name="Normal 7 2" xfId="71"/>
    <cellStyle name="Normal 7 3" xfId="182"/>
    <cellStyle name="Normal 8" xfId="57"/>
    <cellStyle name="Normal 8 2" xfId="72"/>
    <cellStyle name="Normal 8 3" xfId="183"/>
    <cellStyle name="Normal 9" xfId="58"/>
    <cellStyle name="Normal 9 2" xfId="184"/>
    <cellStyle name="Pourcentage" xfId="246" builtinId="5"/>
    <cellStyle name="Pourcentage 2" xfId="185"/>
    <cellStyle name="Pourcentage 2 2" xfId="186"/>
    <cellStyle name="Pourcentage 2 2 2" xfId="221"/>
    <cellStyle name="Pourcentage 2 3" xfId="218"/>
    <cellStyle name="Pourcentage 3" xfId="187"/>
    <cellStyle name="Pourcentage 3 2" xfId="188"/>
    <cellStyle name="Pourcentage 3 2 2" xfId="231"/>
    <cellStyle name="Pourcentage 3 3" xfId="222"/>
    <cellStyle name="Pourcentage 4" xfId="189"/>
    <cellStyle name="Pourcentage 4 2" xfId="190"/>
    <cellStyle name="Pourcentage 4 3" xfId="232"/>
    <cellStyle name="Pourcentage 4 3 2" xfId="237"/>
    <cellStyle name="Pourcentage 5" xfId="240"/>
    <cellStyle name="Pourcentage 5 2" xfId="245"/>
    <cellStyle name="Satisfaisant" xfId="5" builtinId="26" customBuiltin="1"/>
    <cellStyle name="Satisfaisant 2" xfId="191"/>
    <cellStyle name="Satisfaisant 3" xfId="192"/>
    <cellStyle name="Sortie" xfId="8" builtinId="21" customBuiltin="1"/>
    <cellStyle name="Sortie 2" xfId="193"/>
    <cellStyle name="Sortie 3" xfId="194"/>
    <cellStyle name="Texte explicatif" xfId="14" builtinId="53" customBuiltin="1"/>
    <cellStyle name="Texte explicatif 2" xfId="195"/>
    <cellStyle name="Texte explicatif 3" xfId="196"/>
    <cellStyle name="Titre 2" xfId="241"/>
    <cellStyle name="Titre 3" xfId="61"/>
    <cellStyle name="Titre 1" xfId="1" builtinId="16" customBuiltin="1"/>
    <cellStyle name="Titre 1 2" xfId="197"/>
    <cellStyle name="Titre 1 3" xfId="198"/>
    <cellStyle name="Titre 2" xfId="2" builtinId="17" customBuiltin="1"/>
    <cellStyle name="Titre 2 2" xfId="199"/>
    <cellStyle name="Titre 2 3" xfId="200"/>
    <cellStyle name="Titre 3" xfId="3" builtinId="18" customBuiltin="1"/>
    <cellStyle name="Titre 3 2" xfId="201"/>
    <cellStyle name="Titre 3 3" xfId="202"/>
    <cellStyle name="Titre 4" xfId="4" builtinId="19" customBuiltin="1"/>
    <cellStyle name="Titre 4 2" xfId="203"/>
    <cellStyle name="Titre 4 3" xfId="204"/>
    <cellStyle name="Total" xfId="15" builtinId="25" customBuiltin="1"/>
    <cellStyle name="Total 2" xfId="205"/>
    <cellStyle name="Total 3" xfId="206"/>
    <cellStyle name="Vérification" xfId="11" builtinId="23" customBuiltin="1"/>
    <cellStyle name="Vérification 2" xfId="207"/>
    <cellStyle name="Vérification 3" xfId="208"/>
  </cellStyles>
  <dxfs count="2">
    <dxf>
      <font>
        <b/>
        <i val="0"/>
      </font>
      <fill>
        <patternFill>
          <bgColor rgb="FFD7D7D7"/>
        </patternFill>
      </fill>
    </dxf>
    <dxf>
      <font>
        <b val="0"/>
        <i val="0"/>
      </font>
      <fill>
        <patternFill patternType="none">
          <bgColor indexed="65"/>
        </patternFill>
      </fill>
    </dxf>
  </dxfs>
  <tableStyles count="1" defaultTableStyle="TableStyleMedium2" defaultPivotStyle="PivotStyleLight16">
    <tableStyle name="MySqlDefault" pivot="0" table="0" count="2">
      <tableStyleElement type="wholeTable" dxfId="1"/>
      <tableStyleElement type="headerRow" dxfId="0"/>
    </tableStyle>
  </tableStyles>
  <colors>
    <mruColors>
      <color rgb="FFFEF9F8"/>
      <color rgb="FFFBE9E5"/>
      <color rgb="FFFFEBE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onnections" Target="connection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microsoft.com/office/2007/relationships/slicerCache" Target="slicerCaches/slicerCache1.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752475</xdr:colOff>
      <xdr:row>1</xdr:row>
      <xdr:rowOff>0</xdr:rowOff>
    </xdr:from>
    <xdr:to>
      <xdr:col>3</xdr:col>
      <xdr:colOff>47625</xdr:colOff>
      <xdr:row>4</xdr:row>
      <xdr:rowOff>142875</xdr:rowOff>
    </xdr:to>
    <mc:AlternateContent xmlns:mc="http://schemas.openxmlformats.org/markup-compatibility/2006" xmlns:a14="http://schemas.microsoft.com/office/drawing/2010/main">
      <mc:Choice Requires="a14">
        <xdr:graphicFrame macro="">
          <xdr:nvGraphicFramePr>
            <xdr:cNvPr id="2" name="AnneeTTrimestre"/>
            <xdr:cNvGraphicFramePr/>
          </xdr:nvGraphicFramePr>
          <xdr:xfrm>
            <a:off x="0" y="0"/>
            <a:ext cx="0" cy="0"/>
          </xdr:xfrm>
          <a:graphic>
            <a:graphicData uri="http://schemas.microsoft.com/office/drawing/2010/slicer">
              <sle:slicer xmlns:sle="http://schemas.microsoft.com/office/drawing/2010/slicer" name="AnneeTTrimestre"/>
            </a:graphicData>
          </a:graphic>
        </xdr:graphicFrame>
      </mc:Choice>
      <mc:Fallback xmlns="">
        <xdr:sp macro="" textlink="">
          <xdr:nvSpPr>
            <xdr:cNvPr id="0" name=""/>
            <xdr:cNvSpPr>
              <a:spLocks noTextEdit="1"/>
            </xdr:cNvSpPr>
          </xdr:nvSpPr>
          <xdr:spPr>
            <a:xfrm>
              <a:off x="7248525" y="190500"/>
              <a:ext cx="1828800" cy="714375"/>
            </a:xfrm>
            <a:prstGeom prst="rect">
              <a:avLst/>
            </a:prstGeom>
            <a:solidFill>
              <a:prstClr val="white"/>
            </a:solidFill>
            <a:ln w="1">
              <a:solidFill>
                <a:prstClr val="green"/>
              </a:solidFill>
            </a:ln>
          </xdr:spPr>
          <xdr:txBody>
            <a:bodyPr vertOverflow="clip" horzOverflow="clip"/>
            <a:lstStyle/>
            <a:p>
              <a:r>
                <a:rPr lang="fr-FR" sz="1100"/>
                <a:t>Cette forme représente un segment. Les segments sont pris en charge dans Excel 2010 ou version ultérieure.
En revanche, si la forme a été modifiée dans une version précédente d’Excel, ou si le classeur a été enregistré dans Excel 2003 ou une version précédente, vous ne pouvez pas utiliser le segment.</a:t>
              </a:r>
            </a:p>
          </xdr:txBody>
        </xdr:sp>
      </mc:Fallback>
    </mc:AlternateContent>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MMMM5904" refreshedDate="44398.846704398151" createdVersion="5" refreshedVersion="4" minRefreshableVersion="3" recordCount="148">
  <cacheSource type="external" connectionId="1"/>
  <cacheFields count="10">
    <cacheField name="AnneeTTrimestre" numFmtId="0" sqlType="12">
      <sharedItems count="2">
        <s v="2021T2"/>
        <s v="2021T2 "/>
      </sharedItems>
    </cacheField>
    <cacheField name="codeIndicateur" numFmtId="0" sqlType="12">
      <sharedItems count="33">
        <s v="xxxiii"/>
        <s v="xxxii"/>
        <s v="xxv"/>
        <s v="xxxvi"/>
        <s v="i"/>
        <s v="xiv"/>
        <s v="xxvi"/>
        <s v="xxvii"/>
        <s v="xvii"/>
        <s v="vii"/>
        <s v="x"/>
        <s v="xxviii"/>
        <s v="xiii"/>
        <s v="xviii"/>
        <s v="viii"/>
        <s v="xxix"/>
        <s v="xxx"/>
        <s v="iii"/>
        <s v="iv"/>
        <s v="v"/>
        <s v="xxxi"/>
        <s v="xxiii"/>
        <s v="xxiv"/>
        <s v="xv" u="1"/>
        <s v="xxxviii" u="1"/>
        <s v="xx" u="1"/>
        <s v="xvi" u="1"/>
        <s v="xxi" u="1"/>
        <s v="xi" u="1"/>
        <s v="xii" u="1"/>
        <s v="xix" u="1"/>
        <s v="ii" u="1"/>
        <s v="xxii" u="1"/>
      </sharedItems>
    </cacheField>
    <cacheField name="indicateur" numFmtId="0" sqlType="12">
      <sharedItems count="33">
        <s v="Taux d indisponibilité de l assistance téléphonique"/>
        <s v="Taux de commande qui font l objet d un réapprovisionnement à chaud - Origine OI et OC"/>
        <s v="Délai moyen de rétablissement des incidents GTR 4HO/HNO"/>
        <s v="Taux de signalisation effectuée à tort par un opérateur commercial"/>
        <s v="Taux de signalisations sur les parcs livrés depuis moins d'un mois – responsabilité opérateur d'immeuble"/>
        <s v="Délai de rétablissement sur le segment PM-PBO – 95e centile"/>
        <s v="Taux de respect de l'interruption maximum de services des accès GTR 4HO/HNO"/>
        <s v="Taux moyen d'indisponibilité du parc des accès GTR 4HO/HNO"/>
        <s v="Taux de signalisations sur parc (NRO-DTIO) sur une période d'un mois"/>
        <s v="Délai de livraison d’un lien PRDM-PM (première commande) – 95e centile*"/>
        <s v="Taux de non-respect du délai contractuel de livraison des liens PRDM-PM"/>
        <s v="Taux de malfaçons du raccordement final (malfaçons constatées sur le raccordement final lorsqu il est effectué)"/>
        <s v="Taux de non-respect du délai de rétablissement sur le segment PM-PBO"/>
        <s v="Taux de réitération des interruptions de services sur le segment PM-PBO"/>
        <s v="Délai de livraison d’un lien PRDM-PM (commandes suivantes) – 95e centile*"/>
        <s v="Taux d échec d accès à la boucle locale optique mutualisée - cause OI"/>
        <s v="Délai d envoi du compte-rendu de sous-traitance par l OC"/>
        <s v="Taux de commandes qui font l’objet d’un réapprovisionnement à froid"/>
        <s v="En cas de réapprovisionnement à froid, délai de communication d’une nouvelle route optique sans lourds travaux de génie civil – 80e centile"/>
        <s v="En cas de réapprovisionnement à froid, délai de communication d’une nouvelle route optique avec lourds travaux de génie civil – 80e centile"/>
        <s v="Délai d envoi du compte-rendu de mise en service commerciale de la ligne par l OC"/>
        <s v="Taux de non respect de la date de livraison de l'accès avec GTR 4HO/HNO – mode OI"/>
        <s v="Délai moyen de livraison de l'accès avec GTR 4HO/HNO – mode OI"/>
        <s v="Taux de respect du délai de rétablissement" u="1"/>
        <s v="Taux de non-respect du délai de rétablissement sur le segment PBO-DTIo" u="1"/>
        <s v="Délai moyen de rétablissement sur le segment PRDM-PM" u="1"/>
        <s v="Taux de respect de l'interruption maximum de services des accès GTR 10HO" u="1"/>
        <s v="Délai de rétablissement sur le segment PBO-DTIo – 95e centile" u="1"/>
        <s v="Taux de non-respect de la date de livraison de l’accès – mode OI" u="1"/>
        <s v="Taux moyen d'indisponibilité du parc des accès GTR 10HO" u="1"/>
        <s v="Taux de non-respect de la garantie du temps de rétablissement 10 heures ouvrées PRDM-PM" u="1"/>
        <s v="Interruption maximum de services (annuelle)" u="1"/>
        <s v="Taux de réitération des interruptions de services sur le segment PRDM-PM" u="1"/>
      </sharedItems>
    </cacheField>
    <cacheField name="zone" numFmtId="0" sqlType="12">
      <sharedItems containsBlank="1" count="2">
        <m/>
        <s v="National"/>
      </sharedItems>
    </cacheField>
    <cacheField name="OI" numFmtId="0" sqlType="1">
      <sharedItems count="1">
        <s v="VENU"/>
      </sharedItems>
    </cacheField>
    <cacheField name="OC" numFmtId="0" sqlType="1">
      <sharedItems containsBlank="1" count="6">
        <m/>
        <s v="FREE"/>
        <s v="FTEL"/>
        <s v="SFRA"/>
        <s v="AUTR" u="1"/>
        <s v="BOUY" u="1"/>
      </sharedItems>
    </cacheField>
    <cacheField name="unite" numFmtId="0" sqlType="12">
      <sharedItems count="7">
        <s v="Dénominateur"/>
        <s v="Numérateur"/>
        <s v="Délai moyen"/>
        <s v="95e centile"/>
        <s v="80e centile"/>
        <s v="50e centile"/>
        <s v="%" u="1"/>
      </sharedItems>
    </cacheField>
    <cacheField name="maille" numFmtId="0" sqlType="12">
      <sharedItems count="3">
        <s v="Maille OI (offres commercialisées sur le marché de détail - Autofourniture)"/>
        <s v="Maille OI"/>
        <s v="Maille OI (offres commercialisées sur le marché de gros activé)"/>
      </sharedItems>
    </cacheField>
    <cacheField name="type_valeur" numFmtId="0" sqlType="12">
      <sharedItems count="2">
        <s v="Valeurs brutes"/>
        <s v="Valeurs Nettes"/>
      </sharedItems>
    </cacheField>
    <cacheField name="valeur" numFmtId="0" sqlType="2">
      <sharedItems containsString="0" containsBlank="1" containsNumber="1" minValue="0" maxValue="1685686.8"/>
    </cacheField>
  </cacheFields>
  <extLst>
    <ext xmlns:x14="http://schemas.microsoft.com/office/spreadsheetml/2009/9/main" uri="{725AE2AE-9491-48be-B2B4-4EB974FC3084}">
      <x14:pivotCacheDefinition pivotCacheId="2"/>
    </ext>
  </extLst>
</pivotCacheDefinition>
</file>

<file path=xl/pivotCache/pivotCacheRecords1.xml><?xml version="1.0" encoding="utf-8"?>
<pivotCacheRecords xmlns="http://schemas.openxmlformats.org/spreadsheetml/2006/main" xmlns:r="http://schemas.openxmlformats.org/officeDocument/2006/relationships" count="148">
  <r>
    <x v="0"/>
    <x v="0"/>
    <x v="0"/>
    <x v="0"/>
    <x v="0"/>
    <x v="0"/>
    <x v="0"/>
    <x v="0"/>
    <x v="0"/>
    <n v="377577"/>
  </r>
  <r>
    <x v="0"/>
    <x v="0"/>
    <x v="0"/>
    <x v="0"/>
    <x v="0"/>
    <x v="0"/>
    <x v="1"/>
    <x v="0"/>
    <x v="0"/>
    <n v="69847"/>
  </r>
  <r>
    <x v="0"/>
    <x v="1"/>
    <x v="1"/>
    <x v="0"/>
    <x v="0"/>
    <x v="0"/>
    <x v="0"/>
    <x v="0"/>
    <x v="0"/>
    <n v="598"/>
  </r>
  <r>
    <x v="0"/>
    <x v="0"/>
    <x v="0"/>
    <x v="1"/>
    <x v="0"/>
    <x v="0"/>
    <x v="0"/>
    <x v="0"/>
    <x v="0"/>
    <n v="377577"/>
  </r>
  <r>
    <x v="0"/>
    <x v="0"/>
    <x v="0"/>
    <x v="1"/>
    <x v="0"/>
    <x v="0"/>
    <x v="1"/>
    <x v="0"/>
    <x v="0"/>
    <n v="69847"/>
  </r>
  <r>
    <x v="1"/>
    <x v="2"/>
    <x v="2"/>
    <x v="1"/>
    <x v="0"/>
    <x v="0"/>
    <x v="2"/>
    <x v="1"/>
    <x v="0"/>
    <n v="150.64167"/>
  </r>
  <r>
    <x v="1"/>
    <x v="2"/>
    <x v="2"/>
    <x v="1"/>
    <x v="0"/>
    <x v="0"/>
    <x v="2"/>
    <x v="1"/>
    <x v="1"/>
    <n v="41.883330000000001"/>
  </r>
  <r>
    <x v="1"/>
    <x v="2"/>
    <x v="2"/>
    <x v="1"/>
    <x v="0"/>
    <x v="0"/>
    <x v="2"/>
    <x v="0"/>
    <x v="0"/>
    <n v="150.64167"/>
  </r>
  <r>
    <x v="1"/>
    <x v="2"/>
    <x v="2"/>
    <x v="1"/>
    <x v="0"/>
    <x v="0"/>
    <x v="2"/>
    <x v="0"/>
    <x v="1"/>
    <n v="41.883330000000001"/>
  </r>
  <r>
    <x v="1"/>
    <x v="3"/>
    <x v="3"/>
    <x v="1"/>
    <x v="0"/>
    <x v="0"/>
    <x v="0"/>
    <x v="1"/>
    <x v="0"/>
    <n v="3"/>
  </r>
  <r>
    <x v="1"/>
    <x v="3"/>
    <x v="3"/>
    <x v="1"/>
    <x v="0"/>
    <x v="0"/>
    <x v="1"/>
    <x v="1"/>
    <x v="0"/>
    <n v="0"/>
  </r>
  <r>
    <x v="1"/>
    <x v="3"/>
    <x v="3"/>
    <x v="1"/>
    <x v="0"/>
    <x v="0"/>
    <x v="0"/>
    <x v="1"/>
    <x v="1"/>
    <n v="3"/>
  </r>
  <r>
    <x v="1"/>
    <x v="3"/>
    <x v="3"/>
    <x v="1"/>
    <x v="0"/>
    <x v="0"/>
    <x v="1"/>
    <x v="1"/>
    <x v="1"/>
    <n v="0"/>
  </r>
  <r>
    <x v="1"/>
    <x v="3"/>
    <x v="3"/>
    <x v="1"/>
    <x v="0"/>
    <x v="1"/>
    <x v="0"/>
    <x v="1"/>
    <x v="0"/>
    <n v="2"/>
  </r>
  <r>
    <x v="1"/>
    <x v="3"/>
    <x v="3"/>
    <x v="1"/>
    <x v="0"/>
    <x v="1"/>
    <x v="1"/>
    <x v="1"/>
    <x v="0"/>
    <n v="0"/>
  </r>
  <r>
    <x v="1"/>
    <x v="3"/>
    <x v="3"/>
    <x v="1"/>
    <x v="0"/>
    <x v="1"/>
    <x v="0"/>
    <x v="1"/>
    <x v="1"/>
    <n v="2"/>
  </r>
  <r>
    <x v="1"/>
    <x v="3"/>
    <x v="3"/>
    <x v="1"/>
    <x v="0"/>
    <x v="1"/>
    <x v="1"/>
    <x v="1"/>
    <x v="1"/>
    <n v="0"/>
  </r>
  <r>
    <x v="1"/>
    <x v="4"/>
    <x v="4"/>
    <x v="1"/>
    <x v="0"/>
    <x v="0"/>
    <x v="0"/>
    <x v="1"/>
    <x v="0"/>
    <n v="2200"/>
  </r>
  <r>
    <x v="1"/>
    <x v="4"/>
    <x v="4"/>
    <x v="1"/>
    <x v="0"/>
    <x v="0"/>
    <x v="1"/>
    <x v="1"/>
    <x v="0"/>
    <n v="0"/>
  </r>
  <r>
    <x v="1"/>
    <x v="4"/>
    <x v="4"/>
    <x v="1"/>
    <x v="0"/>
    <x v="0"/>
    <x v="0"/>
    <x v="1"/>
    <x v="1"/>
    <n v="2200"/>
  </r>
  <r>
    <x v="1"/>
    <x v="4"/>
    <x v="4"/>
    <x v="1"/>
    <x v="0"/>
    <x v="0"/>
    <x v="1"/>
    <x v="1"/>
    <x v="1"/>
    <n v="0"/>
  </r>
  <r>
    <x v="1"/>
    <x v="5"/>
    <x v="5"/>
    <x v="1"/>
    <x v="0"/>
    <x v="0"/>
    <x v="3"/>
    <x v="1"/>
    <x v="1"/>
    <n v="14.33"/>
  </r>
  <r>
    <x v="1"/>
    <x v="5"/>
    <x v="5"/>
    <x v="1"/>
    <x v="0"/>
    <x v="0"/>
    <x v="3"/>
    <x v="1"/>
    <x v="0"/>
    <n v="14.33"/>
  </r>
  <r>
    <x v="1"/>
    <x v="6"/>
    <x v="6"/>
    <x v="1"/>
    <x v="0"/>
    <x v="0"/>
    <x v="0"/>
    <x v="1"/>
    <x v="0"/>
    <n v="330"/>
  </r>
  <r>
    <x v="1"/>
    <x v="6"/>
    <x v="6"/>
    <x v="1"/>
    <x v="0"/>
    <x v="0"/>
    <x v="0"/>
    <x v="1"/>
    <x v="1"/>
    <n v="330"/>
  </r>
  <r>
    <x v="1"/>
    <x v="4"/>
    <x v="4"/>
    <x v="1"/>
    <x v="0"/>
    <x v="0"/>
    <x v="0"/>
    <x v="0"/>
    <x v="0"/>
    <n v="1501"/>
  </r>
  <r>
    <x v="1"/>
    <x v="4"/>
    <x v="4"/>
    <x v="1"/>
    <x v="0"/>
    <x v="0"/>
    <x v="1"/>
    <x v="0"/>
    <x v="0"/>
    <n v="0"/>
  </r>
  <r>
    <x v="1"/>
    <x v="4"/>
    <x v="4"/>
    <x v="1"/>
    <x v="0"/>
    <x v="0"/>
    <x v="0"/>
    <x v="0"/>
    <x v="1"/>
    <n v="1501"/>
  </r>
  <r>
    <x v="1"/>
    <x v="4"/>
    <x v="4"/>
    <x v="1"/>
    <x v="0"/>
    <x v="0"/>
    <x v="1"/>
    <x v="0"/>
    <x v="1"/>
    <n v="0"/>
  </r>
  <r>
    <x v="1"/>
    <x v="7"/>
    <x v="7"/>
    <x v="1"/>
    <x v="0"/>
    <x v="0"/>
    <x v="1"/>
    <x v="1"/>
    <x v="0"/>
    <n v="74.866669999999999"/>
  </r>
  <r>
    <x v="1"/>
    <x v="8"/>
    <x v="8"/>
    <x v="1"/>
    <x v="0"/>
    <x v="0"/>
    <x v="0"/>
    <x v="1"/>
    <x v="0"/>
    <n v="10362"/>
  </r>
  <r>
    <x v="1"/>
    <x v="8"/>
    <x v="8"/>
    <x v="1"/>
    <x v="0"/>
    <x v="0"/>
    <x v="1"/>
    <x v="1"/>
    <x v="0"/>
    <n v="0.66666999999999998"/>
  </r>
  <r>
    <x v="1"/>
    <x v="8"/>
    <x v="8"/>
    <x v="1"/>
    <x v="0"/>
    <x v="0"/>
    <x v="0"/>
    <x v="1"/>
    <x v="1"/>
    <n v="10362"/>
  </r>
  <r>
    <x v="1"/>
    <x v="8"/>
    <x v="8"/>
    <x v="1"/>
    <x v="0"/>
    <x v="0"/>
    <x v="1"/>
    <x v="1"/>
    <x v="1"/>
    <n v="0.66666999999999998"/>
  </r>
  <r>
    <x v="1"/>
    <x v="9"/>
    <x v="9"/>
    <x v="1"/>
    <x v="0"/>
    <x v="0"/>
    <x v="3"/>
    <x v="0"/>
    <x v="1"/>
    <n v="17"/>
  </r>
  <r>
    <x v="1"/>
    <x v="10"/>
    <x v="10"/>
    <x v="1"/>
    <x v="0"/>
    <x v="0"/>
    <x v="1"/>
    <x v="1"/>
    <x v="0"/>
    <n v="58"/>
  </r>
  <r>
    <x v="1"/>
    <x v="10"/>
    <x v="10"/>
    <x v="1"/>
    <x v="0"/>
    <x v="0"/>
    <x v="0"/>
    <x v="1"/>
    <x v="0"/>
    <n v="76"/>
  </r>
  <r>
    <x v="1"/>
    <x v="10"/>
    <x v="10"/>
    <x v="1"/>
    <x v="0"/>
    <x v="0"/>
    <x v="1"/>
    <x v="0"/>
    <x v="0"/>
    <n v="0"/>
  </r>
  <r>
    <x v="1"/>
    <x v="10"/>
    <x v="10"/>
    <x v="1"/>
    <x v="0"/>
    <x v="0"/>
    <x v="0"/>
    <x v="0"/>
    <x v="0"/>
    <n v="5"/>
  </r>
  <r>
    <x v="0"/>
    <x v="11"/>
    <x v="11"/>
    <x v="0"/>
    <x v="0"/>
    <x v="0"/>
    <x v="0"/>
    <x v="0"/>
    <x v="0"/>
    <n v="618"/>
  </r>
  <r>
    <x v="1"/>
    <x v="6"/>
    <x v="6"/>
    <x v="1"/>
    <x v="0"/>
    <x v="0"/>
    <x v="0"/>
    <x v="0"/>
    <x v="0"/>
    <n v="330"/>
  </r>
  <r>
    <x v="1"/>
    <x v="6"/>
    <x v="6"/>
    <x v="1"/>
    <x v="0"/>
    <x v="0"/>
    <x v="0"/>
    <x v="0"/>
    <x v="1"/>
    <n v="330"/>
  </r>
  <r>
    <x v="1"/>
    <x v="7"/>
    <x v="7"/>
    <x v="1"/>
    <x v="0"/>
    <x v="0"/>
    <x v="0"/>
    <x v="1"/>
    <x v="0"/>
    <n v="1685686.8"/>
  </r>
  <r>
    <x v="1"/>
    <x v="7"/>
    <x v="7"/>
    <x v="1"/>
    <x v="0"/>
    <x v="0"/>
    <x v="0"/>
    <x v="1"/>
    <x v="1"/>
    <n v="1685686.8"/>
  </r>
  <r>
    <x v="1"/>
    <x v="3"/>
    <x v="3"/>
    <x v="1"/>
    <x v="0"/>
    <x v="0"/>
    <x v="0"/>
    <x v="0"/>
    <x v="0"/>
    <n v="1"/>
  </r>
  <r>
    <x v="1"/>
    <x v="3"/>
    <x v="3"/>
    <x v="1"/>
    <x v="0"/>
    <x v="0"/>
    <x v="1"/>
    <x v="0"/>
    <x v="0"/>
    <n v="0"/>
  </r>
  <r>
    <x v="1"/>
    <x v="3"/>
    <x v="3"/>
    <x v="1"/>
    <x v="0"/>
    <x v="0"/>
    <x v="0"/>
    <x v="0"/>
    <x v="1"/>
    <n v="1"/>
  </r>
  <r>
    <x v="1"/>
    <x v="3"/>
    <x v="3"/>
    <x v="1"/>
    <x v="0"/>
    <x v="0"/>
    <x v="1"/>
    <x v="0"/>
    <x v="1"/>
    <n v="0"/>
  </r>
  <r>
    <x v="1"/>
    <x v="8"/>
    <x v="8"/>
    <x v="1"/>
    <x v="0"/>
    <x v="0"/>
    <x v="0"/>
    <x v="0"/>
    <x v="0"/>
    <n v="7867.6666699999996"/>
  </r>
  <r>
    <x v="1"/>
    <x v="8"/>
    <x v="8"/>
    <x v="1"/>
    <x v="0"/>
    <x v="0"/>
    <x v="1"/>
    <x v="0"/>
    <x v="0"/>
    <n v="0"/>
  </r>
  <r>
    <x v="1"/>
    <x v="8"/>
    <x v="8"/>
    <x v="1"/>
    <x v="0"/>
    <x v="0"/>
    <x v="0"/>
    <x v="0"/>
    <x v="1"/>
    <n v="7867.6666699999996"/>
  </r>
  <r>
    <x v="1"/>
    <x v="8"/>
    <x v="8"/>
    <x v="1"/>
    <x v="0"/>
    <x v="0"/>
    <x v="1"/>
    <x v="0"/>
    <x v="1"/>
    <n v="0"/>
  </r>
  <r>
    <x v="1"/>
    <x v="6"/>
    <x v="6"/>
    <x v="1"/>
    <x v="0"/>
    <x v="0"/>
    <x v="1"/>
    <x v="0"/>
    <x v="0"/>
    <n v="327"/>
  </r>
  <r>
    <x v="1"/>
    <x v="6"/>
    <x v="6"/>
    <x v="1"/>
    <x v="0"/>
    <x v="0"/>
    <x v="1"/>
    <x v="0"/>
    <x v="1"/>
    <n v="327"/>
  </r>
  <r>
    <x v="1"/>
    <x v="12"/>
    <x v="12"/>
    <x v="1"/>
    <x v="0"/>
    <x v="0"/>
    <x v="0"/>
    <x v="1"/>
    <x v="0"/>
    <n v="3"/>
  </r>
  <r>
    <x v="1"/>
    <x v="12"/>
    <x v="12"/>
    <x v="1"/>
    <x v="0"/>
    <x v="0"/>
    <x v="1"/>
    <x v="1"/>
    <x v="0"/>
    <n v="1"/>
  </r>
  <r>
    <x v="1"/>
    <x v="12"/>
    <x v="12"/>
    <x v="1"/>
    <x v="0"/>
    <x v="0"/>
    <x v="0"/>
    <x v="1"/>
    <x v="1"/>
    <n v="3"/>
  </r>
  <r>
    <x v="1"/>
    <x v="12"/>
    <x v="12"/>
    <x v="1"/>
    <x v="0"/>
    <x v="0"/>
    <x v="1"/>
    <x v="1"/>
    <x v="1"/>
    <n v="1"/>
  </r>
  <r>
    <x v="1"/>
    <x v="6"/>
    <x v="6"/>
    <x v="1"/>
    <x v="0"/>
    <x v="0"/>
    <x v="1"/>
    <x v="1"/>
    <x v="0"/>
    <n v="327"/>
  </r>
  <r>
    <x v="1"/>
    <x v="6"/>
    <x v="6"/>
    <x v="1"/>
    <x v="0"/>
    <x v="0"/>
    <x v="1"/>
    <x v="1"/>
    <x v="1"/>
    <n v="327"/>
  </r>
  <r>
    <x v="1"/>
    <x v="7"/>
    <x v="7"/>
    <x v="1"/>
    <x v="0"/>
    <x v="0"/>
    <x v="0"/>
    <x v="0"/>
    <x v="0"/>
    <n v="1685686.8"/>
  </r>
  <r>
    <x v="1"/>
    <x v="7"/>
    <x v="7"/>
    <x v="1"/>
    <x v="0"/>
    <x v="0"/>
    <x v="0"/>
    <x v="0"/>
    <x v="1"/>
    <n v="1685686.8"/>
  </r>
  <r>
    <x v="1"/>
    <x v="5"/>
    <x v="5"/>
    <x v="1"/>
    <x v="0"/>
    <x v="0"/>
    <x v="3"/>
    <x v="0"/>
    <x v="1"/>
    <n v="2.62"/>
  </r>
  <r>
    <x v="1"/>
    <x v="5"/>
    <x v="5"/>
    <x v="1"/>
    <x v="0"/>
    <x v="0"/>
    <x v="3"/>
    <x v="0"/>
    <x v="0"/>
    <n v="2.62"/>
  </r>
  <r>
    <x v="1"/>
    <x v="13"/>
    <x v="13"/>
    <x v="1"/>
    <x v="0"/>
    <x v="0"/>
    <x v="0"/>
    <x v="0"/>
    <x v="0"/>
    <n v="1"/>
  </r>
  <r>
    <x v="1"/>
    <x v="13"/>
    <x v="13"/>
    <x v="1"/>
    <x v="0"/>
    <x v="0"/>
    <x v="1"/>
    <x v="0"/>
    <x v="0"/>
    <n v="0"/>
  </r>
  <r>
    <x v="1"/>
    <x v="13"/>
    <x v="13"/>
    <x v="1"/>
    <x v="0"/>
    <x v="0"/>
    <x v="0"/>
    <x v="0"/>
    <x v="1"/>
    <n v="1"/>
  </r>
  <r>
    <x v="1"/>
    <x v="13"/>
    <x v="13"/>
    <x v="1"/>
    <x v="0"/>
    <x v="0"/>
    <x v="1"/>
    <x v="0"/>
    <x v="1"/>
    <n v="0"/>
  </r>
  <r>
    <x v="1"/>
    <x v="7"/>
    <x v="7"/>
    <x v="1"/>
    <x v="0"/>
    <x v="0"/>
    <x v="1"/>
    <x v="1"/>
    <x v="1"/>
    <n v="74.866669999999999"/>
  </r>
  <r>
    <x v="1"/>
    <x v="3"/>
    <x v="3"/>
    <x v="1"/>
    <x v="0"/>
    <x v="2"/>
    <x v="0"/>
    <x v="1"/>
    <x v="0"/>
    <n v="1"/>
  </r>
  <r>
    <x v="1"/>
    <x v="3"/>
    <x v="3"/>
    <x v="1"/>
    <x v="0"/>
    <x v="2"/>
    <x v="1"/>
    <x v="1"/>
    <x v="0"/>
    <n v="0"/>
  </r>
  <r>
    <x v="1"/>
    <x v="3"/>
    <x v="3"/>
    <x v="1"/>
    <x v="0"/>
    <x v="2"/>
    <x v="0"/>
    <x v="1"/>
    <x v="1"/>
    <n v="1"/>
  </r>
  <r>
    <x v="1"/>
    <x v="3"/>
    <x v="3"/>
    <x v="1"/>
    <x v="0"/>
    <x v="2"/>
    <x v="1"/>
    <x v="1"/>
    <x v="1"/>
    <n v="0"/>
  </r>
  <r>
    <x v="1"/>
    <x v="12"/>
    <x v="12"/>
    <x v="1"/>
    <x v="0"/>
    <x v="0"/>
    <x v="0"/>
    <x v="0"/>
    <x v="0"/>
    <n v="1"/>
  </r>
  <r>
    <x v="1"/>
    <x v="12"/>
    <x v="12"/>
    <x v="1"/>
    <x v="0"/>
    <x v="0"/>
    <x v="1"/>
    <x v="0"/>
    <x v="0"/>
    <n v="0"/>
  </r>
  <r>
    <x v="1"/>
    <x v="12"/>
    <x v="12"/>
    <x v="1"/>
    <x v="0"/>
    <x v="0"/>
    <x v="0"/>
    <x v="0"/>
    <x v="1"/>
    <n v="1"/>
  </r>
  <r>
    <x v="1"/>
    <x v="12"/>
    <x v="12"/>
    <x v="1"/>
    <x v="0"/>
    <x v="0"/>
    <x v="1"/>
    <x v="0"/>
    <x v="1"/>
    <n v="0"/>
  </r>
  <r>
    <x v="1"/>
    <x v="9"/>
    <x v="9"/>
    <x v="1"/>
    <x v="0"/>
    <x v="0"/>
    <x v="3"/>
    <x v="1"/>
    <x v="0"/>
    <n v="32"/>
  </r>
  <r>
    <x v="1"/>
    <x v="9"/>
    <x v="9"/>
    <x v="1"/>
    <x v="0"/>
    <x v="0"/>
    <x v="3"/>
    <x v="0"/>
    <x v="0"/>
    <n v="17"/>
  </r>
  <r>
    <x v="1"/>
    <x v="14"/>
    <x v="14"/>
    <x v="1"/>
    <x v="0"/>
    <x v="0"/>
    <x v="3"/>
    <x v="1"/>
    <x v="0"/>
    <m/>
  </r>
  <r>
    <x v="1"/>
    <x v="14"/>
    <x v="14"/>
    <x v="1"/>
    <x v="0"/>
    <x v="0"/>
    <x v="3"/>
    <x v="0"/>
    <x v="0"/>
    <m/>
  </r>
  <r>
    <x v="1"/>
    <x v="10"/>
    <x v="10"/>
    <x v="1"/>
    <x v="0"/>
    <x v="0"/>
    <x v="1"/>
    <x v="1"/>
    <x v="1"/>
    <n v="58"/>
  </r>
  <r>
    <x v="1"/>
    <x v="10"/>
    <x v="10"/>
    <x v="1"/>
    <x v="0"/>
    <x v="0"/>
    <x v="0"/>
    <x v="1"/>
    <x v="1"/>
    <n v="67"/>
  </r>
  <r>
    <x v="1"/>
    <x v="10"/>
    <x v="10"/>
    <x v="1"/>
    <x v="0"/>
    <x v="0"/>
    <x v="1"/>
    <x v="0"/>
    <x v="1"/>
    <n v="0"/>
  </r>
  <r>
    <x v="1"/>
    <x v="10"/>
    <x v="10"/>
    <x v="1"/>
    <x v="0"/>
    <x v="0"/>
    <x v="0"/>
    <x v="0"/>
    <x v="1"/>
    <n v="5"/>
  </r>
  <r>
    <x v="0"/>
    <x v="11"/>
    <x v="11"/>
    <x v="0"/>
    <x v="0"/>
    <x v="0"/>
    <x v="0"/>
    <x v="1"/>
    <x v="0"/>
    <n v="867"/>
  </r>
  <r>
    <x v="0"/>
    <x v="15"/>
    <x v="15"/>
    <x v="0"/>
    <x v="0"/>
    <x v="0"/>
    <x v="1"/>
    <x v="1"/>
    <x v="0"/>
    <n v="16"/>
  </r>
  <r>
    <x v="0"/>
    <x v="0"/>
    <x v="0"/>
    <x v="0"/>
    <x v="0"/>
    <x v="0"/>
    <x v="0"/>
    <x v="1"/>
    <x v="0"/>
    <n v="377577"/>
  </r>
  <r>
    <x v="0"/>
    <x v="0"/>
    <x v="0"/>
    <x v="0"/>
    <x v="0"/>
    <x v="0"/>
    <x v="1"/>
    <x v="1"/>
    <x v="0"/>
    <n v="69847"/>
  </r>
  <r>
    <x v="0"/>
    <x v="0"/>
    <x v="0"/>
    <x v="0"/>
    <x v="0"/>
    <x v="0"/>
    <x v="0"/>
    <x v="2"/>
    <x v="0"/>
    <n v="377577"/>
  </r>
  <r>
    <x v="0"/>
    <x v="0"/>
    <x v="0"/>
    <x v="0"/>
    <x v="0"/>
    <x v="0"/>
    <x v="1"/>
    <x v="2"/>
    <x v="0"/>
    <n v="69847"/>
  </r>
  <r>
    <x v="0"/>
    <x v="0"/>
    <x v="0"/>
    <x v="1"/>
    <x v="0"/>
    <x v="0"/>
    <x v="0"/>
    <x v="1"/>
    <x v="0"/>
    <n v="377577"/>
  </r>
  <r>
    <x v="0"/>
    <x v="0"/>
    <x v="0"/>
    <x v="1"/>
    <x v="0"/>
    <x v="0"/>
    <x v="1"/>
    <x v="1"/>
    <x v="0"/>
    <n v="69847"/>
  </r>
  <r>
    <x v="0"/>
    <x v="0"/>
    <x v="0"/>
    <x v="1"/>
    <x v="0"/>
    <x v="0"/>
    <x v="0"/>
    <x v="2"/>
    <x v="0"/>
    <n v="377577"/>
  </r>
  <r>
    <x v="0"/>
    <x v="0"/>
    <x v="0"/>
    <x v="1"/>
    <x v="0"/>
    <x v="0"/>
    <x v="1"/>
    <x v="2"/>
    <x v="0"/>
    <n v="69847"/>
  </r>
  <r>
    <x v="0"/>
    <x v="16"/>
    <x v="16"/>
    <x v="0"/>
    <x v="0"/>
    <x v="0"/>
    <x v="3"/>
    <x v="0"/>
    <x v="0"/>
    <n v="91.5"/>
  </r>
  <r>
    <x v="0"/>
    <x v="17"/>
    <x v="17"/>
    <x v="0"/>
    <x v="0"/>
    <x v="0"/>
    <x v="1"/>
    <x v="1"/>
    <x v="0"/>
    <n v="22"/>
  </r>
  <r>
    <x v="0"/>
    <x v="17"/>
    <x v="17"/>
    <x v="0"/>
    <x v="0"/>
    <x v="0"/>
    <x v="0"/>
    <x v="1"/>
    <x v="0"/>
    <n v="828"/>
  </r>
  <r>
    <x v="0"/>
    <x v="18"/>
    <x v="18"/>
    <x v="0"/>
    <x v="0"/>
    <x v="0"/>
    <x v="4"/>
    <x v="1"/>
    <x v="0"/>
    <n v="72.900000000000006"/>
  </r>
  <r>
    <x v="0"/>
    <x v="19"/>
    <x v="19"/>
    <x v="0"/>
    <x v="0"/>
    <x v="0"/>
    <x v="4"/>
    <x v="1"/>
    <x v="0"/>
    <n v="62.6"/>
  </r>
  <r>
    <x v="1"/>
    <x v="9"/>
    <x v="9"/>
    <x v="1"/>
    <x v="0"/>
    <x v="0"/>
    <x v="3"/>
    <x v="1"/>
    <x v="1"/>
    <n v="32"/>
  </r>
  <r>
    <x v="1"/>
    <x v="14"/>
    <x v="14"/>
    <x v="1"/>
    <x v="0"/>
    <x v="0"/>
    <x v="3"/>
    <x v="1"/>
    <x v="1"/>
    <m/>
  </r>
  <r>
    <x v="1"/>
    <x v="14"/>
    <x v="14"/>
    <x v="1"/>
    <x v="0"/>
    <x v="0"/>
    <x v="3"/>
    <x v="0"/>
    <x v="1"/>
    <m/>
  </r>
  <r>
    <x v="0"/>
    <x v="15"/>
    <x v="15"/>
    <x v="0"/>
    <x v="0"/>
    <x v="0"/>
    <x v="0"/>
    <x v="1"/>
    <x v="0"/>
    <n v="837"/>
  </r>
  <r>
    <x v="0"/>
    <x v="16"/>
    <x v="16"/>
    <x v="0"/>
    <x v="0"/>
    <x v="0"/>
    <x v="5"/>
    <x v="1"/>
    <x v="0"/>
    <n v="10.3"/>
  </r>
  <r>
    <x v="0"/>
    <x v="16"/>
    <x v="16"/>
    <x v="0"/>
    <x v="0"/>
    <x v="0"/>
    <x v="3"/>
    <x v="1"/>
    <x v="0"/>
    <n v="86.7"/>
  </r>
  <r>
    <x v="0"/>
    <x v="20"/>
    <x v="20"/>
    <x v="0"/>
    <x v="0"/>
    <x v="0"/>
    <x v="5"/>
    <x v="1"/>
    <x v="0"/>
    <n v="0"/>
  </r>
  <r>
    <x v="0"/>
    <x v="20"/>
    <x v="20"/>
    <x v="0"/>
    <x v="0"/>
    <x v="0"/>
    <x v="3"/>
    <x v="1"/>
    <x v="0"/>
    <n v="1.7"/>
  </r>
  <r>
    <x v="0"/>
    <x v="1"/>
    <x v="1"/>
    <x v="0"/>
    <x v="0"/>
    <x v="0"/>
    <x v="1"/>
    <x v="1"/>
    <x v="0"/>
    <n v="189"/>
  </r>
  <r>
    <x v="0"/>
    <x v="1"/>
    <x v="1"/>
    <x v="0"/>
    <x v="0"/>
    <x v="0"/>
    <x v="0"/>
    <x v="1"/>
    <x v="0"/>
    <n v="828"/>
  </r>
  <r>
    <x v="0"/>
    <x v="11"/>
    <x v="11"/>
    <x v="0"/>
    <x v="0"/>
    <x v="2"/>
    <x v="0"/>
    <x v="1"/>
    <x v="0"/>
    <n v="618"/>
  </r>
  <r>
    <x v="0"/>
    <x v="11"/>
    <x v="11"/>
    <x v="0"/>
    <x v="0"/>
    <x v="3"/>
    <x v="0"/>
    <x v="1"/>
    <x v="0"/>
    <n v="77"/>
  </r>
  <r>
    <x v="0"/>
    <x v="11"/>
    <x v="11"/>
    <x v="0"/>
    <x v="0"/>
    <x v="1"/>
    <x v="0"/>
    <x v="1"/>
    <x v="0"/>
    <n v="172"/>
  </r>
  <r>
    <x v="0"/>
    <x v="15"/>
    <x v="15"/>
    <x v="0"/>
    <x v="0"/>
    <x v="1"/>
    <x v="1"/>
    <x v="1"/>
    <x v="0"/>
    <n v="14"/>
  </r>
  <r>
    <x v="0"/>
    <x v="15"/>
    <x v="15"/>
    <x v="0"/>
    <x v="0"/>
    <x v="2"/>
    <x v="1"/>
    <x v="1"/>
    <x v="0"/>
    <n v="1"/>
  </r>
  <r>
    <x v="0"/>
    <x v="15"/>
    <x v="15"/>
    <x v="0"/>
    <x v="0"/>
    <x v="3"/>
    <x v="1"/>
    <x v="1"/>
    <x v="0"/>
    <n v="1"/>
  </r>
  <r>
    <x v="0"/>
    <x v="15"/>
    <x v="15"/>
    <x v="0"/>
    <x v="0"/>
    <x v="1"/>
    <x v="0"/>
    <x v="1"/>
    <x v="0"/>
    <n v="183"/>
  </r>
  <r>
    <x v="0"/>
    <x v="15"/>
    <x v="15"/>
    <x v="0"/>
    <x v="0"/>
    <x v="2"/>
    <x v="0"/>
    <x v="1"/>
    <x v="0"/>
    <n v="576"/>
  </r>
  <r>
    <x v="0"/>
    <x v="15"/>
    <x v="15"/>
    <x v="0"/>
    <x v="0"/>
    <x v="3"/>
    <x v="0"/>
    <x v="1"/>
    <x v="0"/>
    <n v="78"/>
  </r>
  <r>
    <x v="0"/>
    <x v="16"/>
    <x v="16"/>
    <x v="0"/>
    <x v="0"/>
    <x v="1"/>
    <x v="5"/>
    <x v="1"/>
    <x v="0"/>
    <n v="8.5"/>
  </r>
  <r>
    <x v="0"/>
    <x v="16"/>
    <x v="16"/>
    <x v="0"/>
    <x v="0"/>
    <x v="2"/>
    <x v="5"/>
    <x v="1"/>
    <x v="0"/>
    <n v="10.8"/>
  </r>
  <r>
    <x v="0"/>
    <x v="16"/>
    <x v="16"/>
    <x v="0"/>
    <x v="0"/>
    <x v="3"/>
    <x v="5"/>
    <x v="1"/>
    <x v="0"/>
    <n v="6"/>
  </r>
  <r>
    <x v="0"/>
    <x v="16"/>
    <x v="16"/>
    <x v="0"/>
    <x v="0"/>
    <x v="1"/>
    <x v="3"/>
    <x v="1"/>
    <x v="0"/>
    <n v="78.099999999999994"/>
  </r>
  <r>
    <x v="0"/>
    <x v="16"/>
    <x v="16"/>
    <x v="0"/>
    <x v="0"/>
    <x v="2"/>
    <x v="3"/>
    <x v="1"/>
    <x v="0"/>
    <n v="91.5"/>
  </r>
  <r>
    <x v="0"/>
    <x v="16"/>
    <x v="16"/>
    <x v="0"/>
    <x v="0"/>
    <x v="3"/>
    <x v="3"/>
    <x v="1"/>
    <x v="0"/>
    <n v="38.5"/>
  </r>
  <r>
    <x v="0"/>
    <x v="20"/>
    <x v="20"/>
    <x v="0"/>
    <x v="0"/>
    <x v="1"/>
    <x v="5"/>
    <x v="1"/>
    <x v="0"/>
    <n v="0.4"/>
  </r>
  <r>
    <x v="0"/>
    <x v="20"/>
    <x v="20"/>
    <x v="0"/>
    <x v="0"/>
    <x v="2"/>
    <x v="5"/>
    <x v="1"/>
    <x v="0"/>
    <n v="0"/>
  </r>
  <r>
    <x v="0"/>
    <x v="20"/>
    <x v="20"/>
    <x v="0"/>
    <x v="0"/>
    <x v="3"/>
    <x v="5"/>
    <x v="1"/>
    <x v="0"/>
    <n v="0.1"/>
  </r>
  <r>
    <x v="0"/>
    <x v="20"/>
    <x v="20"/>
    <x v="0"/>
    <x v="0"/>
    <x v="1"/>
    <x v="3"/>
    <x v="1"/>
    <x v="0"/>
    <n v="4.5999999999999996"/>
  </r>
  <r>
    <x v="0"/>
    <x v="20"/>
    <x v="20"/>
    <x v="0"/>
    <x v="0"/>
    <x v="2"/>
    <x v="3"/>
    <x v="1"/>
    <x v="0"/>
    <n v="0.6"/>
  </r>
  <r>
    <x v="0"/>
    <x v="20"/>
    <x v="20"/>
    <x v="0"/>
    <x v="0"/>
    <x v="3"/>
    <x v="3"/>
    <x v="1"/>
    <x v="0"/>
    <n v="0.7"/>
  </r>
  <r>
    <x v="0"/>
    <x v="17"/>
    <x v="17"/>
    <x v="0"/>
    <x v="0"/>
    <x v="0"/>
    <x v="1"/>
    <x v="0"/>
    <x v="0"/>
    <n v="18"/>
  </r>
  <r>
    <x v="0"/>
    <x v="17"/>
    <x v="17"/>
    <x v="0"/>
    <x v="0"/>
    <x v="0"/>
    <x v="0"/>
    <x v="0"/>
    <x v="0"/>
    <n v="598"/>
  </r>
  <r>
    <x v="0"/>
    <x v="18"/>
    <x v="18"/>
    <x v="0"/>
    <x v="0"/>
    <x v="0"/>
    <x v="4"/>
    <x v="0"/>
    <x v="0"/>
    <n v="72.900000000000006"/>
  </r>
  <r>
    <x v="0"/>
    <x v="19"/>
    <x v="19"/>
    <x v="0"/>
    <x v="0"/>
    <x v="0"/>
    <x v="4"/>
    <x v="0"/>
    <x v="0"/>
    <n v="62.6"/>
  </r>
  <r>
    <x v="0"/>
    <x v="15"/>
    <x v="15"/>
    <x v="0"/>
    <x v="0"/>
    <x v="0"/>
    <x v="1"/>
    <x v="0"/>
    <x v="0"/>
    <n v="1"/>
  </r>
  <r>
    <x v="0"/>
    <x v="15"/>
    <x v="15"/>
    <x v="0"/>
    <x v="0"/>
    <x v="0"/>
    <x v="0"/>
    <x v="0"/>
    <x v="0"/>
    <n v="576"/>
  </r>
  <r>
    <x v="0"/>
    <x v="16"/>
    <x v="16"/>
    <x v="0"/>
    <x v="0"/>
    <x v="0"/>
    <x v="5"/>
    <x v="0"/>
    <x v="0"/>
    <n v="10.8"/>
  </r>
  <r>
    <x v="0"/>
    <x v="20"/>
    <x v="20"/>
    <x v="0"/>
    <x v="0"/>
    <x v="0"/>
    <x v="5"/>
    <x v="0"/>
    <x v="0"/>
    <n v="0"/>
  </r>
  <r>
    <x v="0"/>
    <x v="20"/>
    <x v="20"/>
    <x v="0"/>
    <x v="0"/>
    <x v="0"/>
    <x v="3"/>
    <x v="0"/>
    <x v="0"/>
    <n v="0.6"/>
  </r>
  <r>
    <x v="0"/>
    <x v="1"/>
    <x v="1"/>
    <x v="0"/>
    <x v="0"/>
    <x v="0"/>
    <x v="1"/>
    <x v="0"/>
    <x v="0"/>
    <n v="142"/>
  </r>
  <r>
    <x v="1"/>
    <x v="13"/>
    <x v="13"/>
    <x v="1"/>
    <x v="0"/>
    <x v="0"/>
    <x v="0"/>
    <x v="1"/>
    <x v="0"/>
    <n v="2"/>
  </r>
  <r>
    <x v="1"/>
    <x v="13"/>
    <x v="13"/>
    <x v="1"/>
    <x v="0"/>
    <x v="0"/>
    <x v="1"/>
    <x v="1"/>
    <x v="0"/>
    <n v="1"/>
  </r>
  <r>
    <x v="1"/>
    <x v="13"/>
    <x v="13"/>
    <x v="1"/>
    <x v="0"/>
    <x v="0"/>
    <x v="0"/>
    <x v="1"/>
    <x v="1"/>
    <n v="2"/>
  </r>
  <r>
    <x v="1"/>
    <x v="13"/>
    <x v="13"/>
    <x v="1"/>
    <x v="0"/>
    <x v="0"/>
    <x v="1"/>
    <x v="1"/>
    <x v="1"/>
    <n v="1"/>
  </r>
  <r>
    <x v="0"/>
    <x v="21"/>
    <x v="21"/>
    <x v="1"/>
    <x v="0"/>
    <x v="0"/>
    <x v="0"/>
    <x v="1"/>
    <x v="1"/>
    <n v="71"/>
  </r>
  <r>
    <x v="0"/>
    <x v="21"/>
    <x v="21"/>
    <x v="1"/>
    <x v="0"/>
    <x v="0"/>
    <x v="1"/>
    <x v="1"/>
    <x v="1"/>
    <n v="57"/>
  </r>
  <r>
    <x v="0"/>
    <x v="22"/>
    <x v="22"/>
    <x v="1"/>
    <x v="0"/>
    <x v="0"/>
    <x v="2"/>
    <x v="1"/>
    <x v="1"/>
    <n v="10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2" applyNumberFormats="0" applyBorderFormats="0" applyFontFormats="0" applyPatternFormats="0" applyAlignmentFormats="0" applyWidthHeightFormats="1" dataCaption="Valeurs" showMissing="0" updatedVersion="4" minRefreshableVersion="3" rowGrandTotals="0" colGrandTotals="0" itemPrintTitles="1" createdVersion="5" indent="0" compact="0" compactData="0" gridDropZones="1" multipleFieldFilters="0" fieldListSortAscending="1">
  <location ref="A7:M48" firstHeaderRow="1" firstDataRow="4" firstDataCol="3"/>
  <pivotFields count="10">
    <pivotField compact="0" outline="0" showAll="0" defaultSubtotal="0">
      <items count="2">
        <item x="0"/>
        <item x="1"/>
      </items>
    </pivotField>
    <pivotField axis="axisRow" compact="0" outline="0" showAll="0" defaultSubtotal="0">
      <items count="33">
        <item x="4"/>
        <item x="16"/>
        <item x="9"/>
        <item x="20"/>
        <item x="1"/>
        <item x="10"/>
        <item x="14"/>
        <item x="11"/>
        <item m="1" x="31"/>
        <item x="17"/>
        <item x="18"/>
        <item x="19"/>
        <item x="15"/>
        <item x="8"/>
        <item x="13"/>
        <item m="1" x="23"/>
        <item m="1" x="28"/>
        <item x="12"/>
        <item m="1" x="25"/>
        <item x="2"/>
        <item m="1" x="26"/>
        <item m="1" x="30"/>
        <item m="1" x="29"/>
        <item x="5"/>
        <item m="1" x="24"/>
        <item m="1" x="27"/>
        <item x="6"/>
        <item x="3"/>
        <item x="7"/>
        <item m="1" x="32"/>
        <item x="0"/>
        <item x="21"/>
        <item x="22"/>
      </items>
    </pivotField>
    <pivotField axis="axisRow" compact="0" outline="0" showAll="0" defaultSubtotal="0">
      <items count="33">
        <item m="1" x="27"/>
        <item x="5"/>
        <item m="1" x="25"/>
        <item m="1" x="24"/>
        <item x="12"/>
        <item x="13"/>
        <item m="1" x="23"/>
        <item x="4"/>
        <item x="8"/>
        <item m="1" x="30"/>
        <item x="16"/>
        <item x="9"/>
        <item x="20"/>
        <item x="1"/>
        <item x="10"/>
        <item x="14"/>
        <item x="11"/>
        <item m="1" x="28"/>
        <item x="17"/>
        <item x="18"/>
        <item x="19"/>
        <item x="15"/>
        <item x="2"/>
        <item m="1" x="32"/>
        <item m="1" x="26"/>
        <item x="6"/>
        <item x="3"/>
        <item x="7"/>
        <item m="1" x="29"/>
        <item m="1" x="31"/>
        <item x="0"/>
        <item x="21"/>
        <item x="22"/>
      </items>
    </pivotField>
    <pivotField compact="0" outline="0" showAll="0"/>
    <pivotField compact="0" outline="0" showAll="0"/>
    <pivotField axis="axisCol" compact="0" outline="0" showAll="0" defaultSubtotal="0">
      <items count="6">
        <item x="0"/>
        <item m="1" x="5"/>
        <item x="3"/>
        <item x="1"/>
        <item m="1" x="4"/>
        <item x="2"/>
      </items>
    </pivotField>
    <pivotField axis="axisRow" compact="0" outline="0" showAll="0">
      <items count="8">
        <item x="3"/>
        <item x="2"/>
        <item x="0"/>
        <item x="1"/>
        <item x="5"/>
        <item x="4"/>
        <item m="1" x="6"/>
        <item t="default"/>
      </items>
    </pivotField>
    <pivotField axis="axisCol" compact="0" outline="0" showAll="0" defaultSubtotal="0">
      <items count="3">
        <item x="1"/>
        <item x="2"/>
        <item x="0"/>
      </items>
    </pivotField>
    <pivotField axis="axisCol" compact="0" outline="0" showAll="0">
      <items count="3">
        <item x="1"/>
        <item x="0"/>
        <item t="default"/>
      </items>
    </pivotField>
    <pivotField dataField="1" compact="0" outline="0" showAll="0"/>
  </pivotFields>
  <rowFields count="3">
    <field x="2"/>
    <field x="1"/>
    <field x="6"/>
  </rowFields>
  <rowItems count="38">
    <i>
      <x v="1"/>
      <x v="23"/>
      <x/>
    </i>
    <i>
      <x v="4"/>
      <x v="17"/>
      <x v="2"/>
    </i>
    <i r="2">
      <x v="3"/>
    </i>
    <i>
      <x v="5"/>
      <x v="14"/>
      <x v="2"/>
    </i>
    <i r="2">
      <x v="3"/>
    </i>
    <i>
      <x v="7"/>
      <x/>
      <x v="2"/>
    </i>
    <i r="2">
      <x v="3"/>
    </i>
    <i>
      <x v="8"/>
      <x v="13"/>
      <x v="2"/>
    </i>
    <i r="2">
      <x v="3"/>
    </i>
    <i>
      <x v="10"/>
      <x v="1"/>
      <x/>
    </i>
    <i r="2">
      <x v="4"/>
    </i>
    <i>
      <x v="11"/>
      <x v="2"/>
      <x/>
    </i>
    <i>
      <x v="12"/>
      <x v="3"/>
      <x/>
    </i>
    <i r="2">
      <x v="4"/>
    </i>
    <i>
      <x v="13"/>
      <x v="4"/>
      <x v="2"/>
    </i>
    <i r="2">
      <x v="3"/>
    </i>
    <i>
      <x v="14"/>
      <x v="5"/>
      <x v="2"/>
    </i>
    <i r="2">
      <x v="3"/>
    </i>
    <i>
      <x v="15"/>
      <x v="6"/>
      <x/>
    </i>
    <i>
      <x v="16"/>
      <x v="7"/>
      <x v="2"/>
    </i>
    <i>
      <x v="18"/>
      <x v="9"/>
      <x v="2"/>
    </i>
    <i r="2">
      <x v="3"/>
    </i>
    <i>
      <x v="19"/>
      <x v="10"/>
      <x v="5"/>
    </i>
    <i>
      <x v="20"/>
      <x v="11"/>
      <x v="5"/>
    </i>
    <i>
      <x v="21"/>
      <x v="12"/>
      <x v="2"/>
    </i>
    <i r="2">
      <x v="3"/>
    </i>
    <i>
      <x v="22"/>
      <x v="19"/>
      <x v="1"/>
    </i>
    <i>
      <x v="25"/>
      <x v="26"/>
      <x v="2"/>
    </i>
    <i r="2">
      <x v="3"/>
    </i>
    <i>
      <x v="26"/>
      <x v="27"/>
      <x v="2"/>
    </i>
    <i r="2">
      <x v="3"/>
    </i>
    <i>
      <x v="27"/>
      <x v="28"/>
      <x v="2"/>
    </i>
    <i r="2">
      <x v="3"/>
    </i>
    <i>
      <x v="30"/>
      <x v="30"/>
      <x v="2"/>
    </i>
    <i r="2">
      <x v="3"/>
    </i>
    <i>
      <x v="31"/>
      <x v="31"/>
      <x v="2"/>
    </i>
    <i r="2">
      <x v="3"/>
    </i>
    <i>
      <x v="32"/>
      <x v="32"/>
      <x v="1"/>
    </i>
  </rowItems>
  <colFields count="3">
    <field x="5"/>
    <field x="7"/>
    <field x="8"/>
  </colFields>
  <colItems count="10">
    <i>
      <x/>
      <x/>
      <x/>
    </i>
    <i r="2">
      <x v="1"/>
    </i>
    <i r="1">
      <x v="1"/>
      <x v="1"/>
    </i>
    <i r="1">
      <x v="2"/>
      <x/>
    </i>
    <i r="2">
      <x v="1"/>
    </i>
    <i>
      <x v="2"/>
      <x/>
      <x v="1"/>
    </i>
    <i>
      <x v="3"/>
      <x/>
      <x/>
    </i>
    <i r="2">
      <x v="1"/>
    </i>
    <i>
      <x v="5"/>
      <x/>
      <x/>
    </i>
    <i r="2">
      <x v="1"/>
    </i>
  </colItems>
  <dataFields count="1">
    <dataField name="Moyenne de valeur" fld="9" subtotal="average" baseField="1"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AnneeTTrimestre" sourceName="AnneeTTrimestre">
  <pivotTables>
    <pivotTable tabId="17" name="Tableau croisé dynamique1"/>
  </pivotTables>
  <data>
    <tabular pivotCacheId="2">
      <items count="2">
        <i x="0" s="1"/>
        <i x="1" s="1"/>
      </items>
    </tabular>
  </data>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AnneeTTrimestre" cache="Segment_AnneeTTrimestre" caption="AnneeTTrimestre" rowHeight="241300"/>
</slicer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QSfibre@arcep.fr" TargetMode="External"/><Relationship Id="rId1" Type="http://schemas.openxmlformats.org/officeDocument/2006/relationships/hyperlink" Target="https://extranet.arcep.fr/portail/LinkClick.aspx?fileticket=Dh7Vr2GF5vw%3d&amp;tabid=215&amp;portalid=0&amp;mid=720"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microsoft.com/office/2007/relationships/slicer" Target="../slicers/slicer1.xml"/><Relationship Id="rId2" Type="http://schemas.openxmlformats.org/officeDocument/2006/relationships/drawing" Target="../drawings/drawing1.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showGridLines="0" zoomScale="80" zoomScaleNormal="80" workbookViewId="0">
      <selection activeCell="B6" sqref="B6"/>
    </sheetView>
  </sheetViews>
  <sheetFormatPr baseColWidth="10" defaultColWidth="11.5703125" defaultRowHeight="15" x14ac:dyDescent="0.25"/>
  <cols>
    <col min="1" max="3" width="65.7109375" style="21" customWidth="1"/>
    <col min="4" max="16384" width="11.5703125" style="21"/>
  </cols>
  <sheetData>
    <row r="1" spans="1:3" s="22" customFormat="1" x14ac:dyDescent="0.25">
      <c r="A1" s="97" t="s">
        <v>58</v>
      </c>
      <c r="B1" s="98"/>
      <c r="C1" s="99"/>
    </row>
    <row r="2" spans="1:3" s="22" customFormat="1" ht="4.9000000000000004" customHeight="1" x14ac:dyDescent="0.25">
      <c r="A2" s="10"/>
      <c r="B2" s="11"/>
      <c r="C2" s="12"/>
    </row>
    <row r="3" spans="1:3" s="22" customFormat="1" ht="12" customHeight="1" x14ac:dyDescent="0.25">
      <c r="A3" s="10" t="s">
        <v>57</v>
      </c>
      <c r="B3" s="61"/>
      <c r="C3" s="13"/>
    </row>
    <row r="4" spans="1:3" s="22" customFormat="1" ht="12" customHeight="1" x14ac:dyDescent="0.25">
      <c r="A4" s="3" t="s">
        <v>54</v>
      </c>
      <c r="B4" s="61"/>
      <c r="C4" s="13"/>
    </row>
    <row r="5" spans="1:3" s="22" customFormat="1" ht="16.5" customHeight="1" x14ac:dyDescent="0.25">
      <c r="A5" s="10" t="s">
        <v>88</v>
      </c>
      <c r="B5" s="61"/>
      <c r="C5" s="13" t="s">
        <v>89</v>
      </c>
    </row>
    <row r="6" spans="1:3" s="22" customFormat="1" ht="48" customHeight="1" x14ac:dyDescent="0.25">
      <c r="A6" s="10" t="s">
        <v>93</v>
      </c>
      <c r="B6" s="56"/>
      <c r="C6" s="13" t="s">
        <v>92</v>
      </c>
    </row>
    <row r="7" spans="1:3" s="22" customFormat="1" ht="4.9000000000000004" customHeight="1" x14ac:dyDescent="0.25">
      <c r="A7" s="10"/>
      <c r="B7" s="11"/>
      <c r="C7" s="12"/>
    </row>
    <row r="8" spans="1:3" s="22" customFormat="1" ht="12" customHeight="1" x14ac:dyDescent="0.25">
      <c r="B8" s="11"/>
      <c r="C8" s="13"/>
    </row>
    <row r="9" spans="1:3" s="22" customFormat="1" ht="12" customHeight="1" x14ac:dyDescent="0.25">
      <c r="A9" s="10" t="s">
        <v>55</v>
      </c>
      <c r="B9" s="49" t="s">
        <v>90</v>
      </c>
      <c r="C9" s="1" t="s">
        <v>91</v>
      </c>
    </row>
    <row r="10" spans="1:3" s="22" customFormat="1" ht="12" customHeight="1" x14ac:dyDescent="0.25">
      <c r="A10" s="14"/>
      <c r="B10" s="15" t="s">
        <v>56</v>
      </c>
      <c r="C10" s="2" t="s">
        <v>59</v>
      </c>
    </row>
    <row r="11" spans="1:3" s="22" customFormat="1" ht="4.9000000000000004" customHeight="1" x14ac:dyDescent="0.25">
      <c r="A11" s="10"/>
      <c r="B11" s="11"/>
      <c r="C11" s="12"/>
    </row>
    <row r="12" spans="1:3" s="22" customFormat="1" ht="30" customHeight="1" x14ac:dyDescent="0.25">
      <c r="A12" s="10" t="s">
        <v>61</v>
      </c>
      <c r="B12" s="74" t="s">
        <v>103</v>
      </c>
      <c r="C12" s="16" t="s">
        <v>60</v>
      </c>
    </row>
    <row r="13" spans="1:3" s="22" customFormat="1" ht="4.9000000000000004" customHeight="1" x14ac:dyDescent="0.25">
      <c r="A13" s="101" t="s">
        <v>62</v>
      </c>
      <c r="B13" s="17"/>
      <c r="C13" s="18"/>
    </row>
    <row r="14" spans="1:3" s="22" customFormat="1" ht="40.15" customHeight="1" x14ac:dyDescent="0.25">
      <c r="A14" s="102"/>
      <c r="B14" s="43" t="s">
        <v>63</v>
      </c>
      <c r="C14" s="19" t="s">
        <v>77</v>
      </c>
    </row>
    <row r="15" spans="1:3" s="22" customFormat="1" ht="40.15" customHeight="1" x14ac:dyDescent="0.25">
      <c r="A15" s="102"/>
      <c r="B15" s="44" t="s">
        <v>66</v>
      </c>
      <c r="C15" s="20" t="s">
        <v>78</v>
      </c>
    </row>
    <row r="16" spans="1:3" s="22" customFormat="1" ht="40.15" customHeight="1" x14ac:dyDescent="0.25">
      <c r="A16" s="102"/>
      <c r="B16" s="45" t="s">
        <v>49</v>
      </c>
      <c r="C16" s="100" t="s">
        <v>81</v>
      </c>
    </row>
    <row r="17" spans="1:3" s="22" customFormat="1" ht="40.15" customHeight="1" x14ac:dyDescent="0.25">
      <c r="A17" s="102"/>
      <c r="B17" s="45" t="s">
        <v>52</v>
      </c>
      <c r="C17" s="100"/>
    </row>
    <row r="18" spans="1:3" s="22" customFormat="1" ht="40.15" customHeight="1" x14ac:dyDescent="0.25">
      <c r="A18" s="102"/>
      <c r="B18" s="45" t="s">
        <v>64</v>
      </c>
      <c r="C18" s="100"/>
    </row>
    <row r="19" spans="1:3" s="22" customFormat="1" ht="40.15" customHeight="1" x14ac:dyDescent="0.25">
      <c r="A19" s="103"/>
      <c r="B19" s="46" t="s">
        <v>99</v>
      </c>
      <c r="C19" s="100"/>
    </row>
    <row r="20" spans="1:3" x14ac:dyDescent="0.25">
      <c r="A20" s="101" t="s">
        <v>98</v>
      </c>
      <c r="B20" s="26"/>
      <c r="C20" s="36" t="s">
        <v>94</v>
      </c>
    </row>
    <row r="21" spans="1:3" x14ac:dyDescent="0.25">
      <c r="A21" s="102"/>
      <c r="B21" s="37"/>
      <c r="C21" s="38" t="s">
        <v>95</v>
      </c>
    </row>
    <row r="22" spans="1:3" x14ac:dyDescent="0.25">
      <c r="A22" s="102"/>
      <c r="B22" s="39"/>
      <c r="C22" s="38" t="s">
        <v>102</v>
      </c>
    </row>
    <row r="23" spans="1:3" x14ac:dyDescent="0.25">
      <c r="A23" s="102"/>
      <c r="B23" s="42"/>
      <c r="C23" s="38" t="s">
        <v>97</v>
      </c>
    </row>
    <row r="24" spans="1:3" x14ac:dyDescent="0.25">
      <c r="A24" s="103"/>
      <c r="B24" s="40"/>
      <c r="C24" s="41" t="s">
        <v>96</v>
      </c>
    </row>
    <row r="26" spans="1:3" ht="31.5" x14ac:dyDescent="0.25">
      <c r="B26" s="78" t="e">
        <f ca="1">_xlfn.IFS(
 ISBLANK(B3),"Nom de l'OI manquant",
 ISBLANK(B4),"Code de l'OI manquant",
 ISBLANK(B5),"Année mesurée manquantes",
 ISBLANK(B6),"Mois ou trimestre mesuré manquant",
 COUNTBLANK('Annexe 2-1'!K1:K41)+COUNTBLANK('Annexe 2-2'!K1:K24)+COUNTBLANK('Annexe 3'!I1:I39)+COUNTBLANK('Annexe 3 - Détail par OC'!M1:M40)=41+24+39+40,"",
 TRUE,"Il reste des erreurs dans le fichier !"
)</f>
        <v>#NAME?</v>
      </c>
    </row>
  </sheetData>
  <sheetProtection sheet="1" selectLockedCells="1"/>
  <mergeCells count="4">
    <mergeCell ref="A1:C1"/>
    <mergeCell ref="C16:C19"/>
    <mergeCell ref="A13:A19"/>
    <mergeCell ref="A20:A24"/>
  </mergeCells>
  <hyperlinks>
    <hyperlink ref="A4" r:id="rId1"/>
    <hyperlink ref="B14" location="Guide!A1" display="Guide"/>
    <hyperlink ref="B15" location="'Maille d''appréciation'!A1" display="Maille d'appréciation"/>
    <hyperlink ref="B16" location="'Annexe 2-1'!A1" display="Annexe 2-1"/>
    <hyperlink ref="B17" location="'Annexe 2-2'!A1" display="Annexe 2-2"/>
    <hyperlink ref="B18" location="'Annexe 3'!A1" display="Annexe 3"/>
    <hyperlink ref="B19" location="'Annexe 3 - Détail par OC'!A1" display="Annexe 3 - Détail par OC"/>
    <hyperlink ref="B12" r:id="rId2"/>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showGridLines="0" topLeftCell="A49" zoomScale="80" zoomScaleNormal="80" workbookViewId="0">
      <selection activeCell="C56" sqref="C56"/>
    </sheetView>
  </sheetViews>
  <sheetFormatPr baseColWidth="10" defaultColWidth="11.5703125" defaultRowHeight="15" x14ac:dyDescent="0.25"/>
  <cols>
    <col min="1" max="1" width="5.7109375" style="23" customWidth="1"/>
    <col min="2" max="2" width="60.7109375" style="24" customWidth="1"/>
    <col min="3" max="4" width="80.7109375" style="23" customWidth="1"/>
    <col min="5" max="16384" width="11.5703125" style="23"/>
  </cols>
  <sheetData>
    <row r="1" spans="1:4" ht="40.15" customHeight="1" x14ac:dyDescent="0.25">
      <c r="A1" s="58"/>
      <c r="B1" s="59" t="s">
        <v>47</v>
      </c>
      <c r="C1" s="59" t="s">
        <v>100</v>
      </c>
      <c r="D1" s="59" t="s">
        <v>48</v>
      </c>
    </row>
    <row r="2" spans="1:4" ht="19.899999999999999" customHeight="1" x14ac:dyDescent="0.25">
      <c r="A2" s="113" t="s">
        <v>49</v>
      </c>
      <c r="B2" s="114"/>
      <c r="C2" s="114"/>
      <c r="D2" s="115"/>
    </row>
    <row r="3" spans="1:4" ht="19.899999999999999" customHeight="1" x14ac:dyDescent="0.25">
      <c r="A3" s="116" t="s">
        <v>4</v>
      </c>
      <c r="B3" s="117"/>
      <c r="C3" s="117"/>
      <c r="D3" s="118"/>
    </row>
    <row r="4" spans="1:4" ht="30" customHeight="1" x14ac:dyDescent="0.25">
      <c r="A4" s="104">
        <v>1</v>
      </c>
      <c r="B4" s="119" t="s">
        <v>6</v>
      </c>
      <c r="C4" s="60" t="s">
        <v>50</v>
      </c>
      <c r="D4" s="61"/>
    </row>
    <row r="5" spans="1:4" ht="30" customHeight="1" x14ac:dyDescent="0.25">
      <c r="A5" s="105"/>
      <c r="B5" s="120"/>
      <c r="C5" s="62" t="s">
        <v>51</v>
      </c>
      <c r="D5" s="63"/>
    </row>
    <row r="6" spans="1:4" ht="30" customHeight="1" x14ac:dyDescent="0.25">
      <c r="A6" s="104">
        <v>2</v>
      </c>
      <c r="B6" s="119" t="s">
        <v>7</v>
      </c>
      <c r="C6" s="60" t="s">
        <v>50</v>
      </c>
      <c r="D6" s="61"/>
    </row>
    <row r="7" spans="1:4" ht="30" customHeight="1" x14ac:dyDescent="0.25">
      <c r="A7" s="105"/>
      <c r="B7" s="120"/>
      <c r="C7" s="62" t="s">
        <v>51</v>
      </c>
      <c r="D7" s="63"/>
    </row>
    <row r="8" spans="1:4" ht="30" customHeight="1" x14ac:dyDescent="0.25">
      <c r="A8" s="104">
        <v>3</v>
      </c>
      <c r="B8" s="119" t="s">
        <v>8</v>
      </c>
      <c r="C8" s="60" t="s">
        <v>50</v>
      </c>
      <c r="D8" s="61"/>
    </row>
    <row r="9" spans="1:4" ht="30" customHeight="1" x14ac:dyDescent="0.25">
      <c r="A9" s="105"/>
      <c r="B9" s="120"/>
      <c r="C9" s="88" t="s">
        <v>101</v>
      </c>
      <c r="D9" s="63"/>
    </row>
    <row r="10" spans="1:4" ht="30" customHeight="1" x14ac:dyDescent="0.25">
      <c r="A10" s="64">
        <v>4</v>
      </c>
      <c r="B10" s="65" t="s">
        <v>9</v>
      </c>
      <c r="C10" s="66" t="s">
        <v>82</v>
      </c>
      <c r="D10" s="56"/>
    </row>
    <row r="11" spans="1:4" ht="30" customHeight="1" x14ac:dyDescent="0.25">
      <c r="A11" s="64">
        <v>5</v>
      </c>
      <c r="B11" s="65" t="s">
        <v>10</v>
      </c>
      <c r="C11" s="66" t="s">
        <v>82</v>
      </c>
      <c r="D11" s="56"/>
    </row>
    <row r="12" spans="1:4" ht="30" customHeight="1" x14ac:dyDescent="0.25">
      <c r="A12" s="104">
        <v>6</v>
      </c>
      <c r="B12" s="119" t="s">
        <v>11</v>
      </c>
      <c r="C12" s="60" t="s">
        <v>50</v>
      </c>
      <c r="D12" s="61"/>
    </row>
    <row r="13" spans="1:4" ht="30" customHeight="1" x14ac:dyDescent="0.25">
      <c r="A13" s="105"/>
      <c r="B13" s="120"/>
      <c r="C13" s="62" t="s">
        <v>51</v>
      </c>
      <c r="D13" s="63"/>
    </row>
    <row r="14" spans="1:4" ht="30" customHeight="1" x14ac:dyDescent="0.25">
      <c r="A14" s="64">
        <v>7</v>
      </c>
      <c r="B14" s="65" t="s">
        <v>12</v>
      </c>
      <c r="C14" s="66" t="s">
        <v>82</v>
      </c>
      <c r="D14" s="56"/>
    </row>
    <row r="15" spans="1:4" ht="30" customHeight="1" x14ac:dyDescent="0.25">
      <c r="A15" s="64">
        <v>8</v>
      </c>
      <c r="B15" s="65" t="s">
        <v>13</v>
      </c>
      <c r="C15" s="60" t="s">
        <v>82</v>
      </c>
      <c r="D15" s="61"/>
    </row>
    <row r="16" spans="1:4" ht="30" customHeight="1" x14ac:dyDescent="0.25">
      <c r="A16" s="64">
        <v>9</v>
      </c>
      <c r="B16" s="65" t="s">
        <v>14</v>
      </c>
      <c r="C16" s="66" t="s">
        <v>82</v>
      </c>
      <c r="D16" s="56"/>
    </row>
    <row r="17" spans="1:4" ht="30" customHeight="1" x14ac:dyDescent="0.25">
      <c r="A17" s="106">
        <v>10</v>
      </c>
      <c r="B17" s="111" t="s">
        <v>15</v>
      </c>
      <c r="C17" s="60" t="s">
        <v>50</v>
      </c>
      <c r="D17" s="61"/>
    </row>
    <row r="18" spans="1:4" ht="30" customHeight="1" x14ac:dyDescent="0.25">
      <c r="A18" s="107"/>
      <c r="B18" s="112"/>
      <c r="C18" s="62" t="s">
        <v>51</v>
      </c>
      <c r="D18" s="63"/>
    </row>
    <row r="19" spans="1:4" ht="19.899999999999999" customHeight="1" x14ac:dyDescent="0.25">
      <c r="A19" s="108" t="s">
        <v>5</v>
      </c>
      <c r="B19" s="109"/>
      <c r="C19" s="109"/>
      <c r="D19" s="110"/>
    </row>
    <row r="20" spans="1:4" ht="30" customHeight="1" x14ac:dyDescent="0.25">
      <c r="A20" s="106">
        <v>11</v>
      </c>
      <c r="B20" s="111" t="s">
        <v>16</v>
      </c>
      <c r="C20" s="60" t="s">
        <v>50</v>
      </c>
      <c r="D20" s="61"/>
    </row>
    <row r="21" spans="1:4" ht="30" customHeight="1" x14ac:dyDescent="0.25">
      <c r="A21" s="107"/>
      <c r="B21" s="112"/>
      <c r="C21" s="62" t="s">
        <v>51</v>
      </c>
      <c r="D21" s="63"/>
    </row>
    <row r="22" spans="1:4" ht="30" customHeight="1" x14ac:dyDescent="0.25">
      <c r="A22" s="64">
        <v>12</v>
      </c>
      <c r="B22" s="65" t="s">
        <v>17</v>
      </c>
      <c r="C22" s="60" t="s">
        <v>82</v>
      </c>
      <c r="D22" s="61"/>
    </row>
    <row r="23" spans="1:4" ht="30" customHeight="1" x14ac:dyDescent="0.25">
      <c r="A23" s="106">
        <v>13</v>
      </c>
      <c r="B23" s="111" t="s">
        <v>18</v>
      </c>
      <c r="C23" s="60" t="s">
        <v>50</v>
      </c>
      <c r="D23" s="61"/>
    </row>
    <row r="24" spans="1:4" ht="30" customHeight="1" x14ac:dyDescent="0.25">
      <c r="A24" s="107"/>
      <c r="B24" s="112"/>
      <c r="C24" s="62" t="s">
        <v>51</v>
      </c>
      <c r="D24" s="63"/>
    </row>
    <row r="25" spans="1:4" ht="30" customHeight="1" x14ac:dyDescent="0.25">
      <c r="A25" s="64">
        <v>14</v>
      </c>
      <c r="B25" s="65" t="s">
        <v>19</v>
      </c>
      <c r="C25" s="60" t="s">
        <v>82</v>
      </c>
      <c r="D25" s="61"/>
    </row>
    <row r="26" spans="1:4" ht="30" customHeight="1" x14ac:dyDescent="0.25">
      <c r="A26" s="106">
        <v>15</v>
      </c>
      <c r="B26" s="111" t="s">
        <v>20</v>
      </c>
      <c r="C26" s="60" t="s">
        <v>50</v>
      </c>
      <c r="D26" s="61"/>
    </row>
    <row r="27" spans="1:4" ht="30" customHeight="1" x14ac:dyDescent="0.25">
      <c r="A27" s="107"/>
      <c r="B27" s="112"/>
      <c r="C27" s="62" t="s">
        <v>51</v>
      </c>
      <c r="D27" s="63"/>
    </row>
    <row r="28" spans="1:4" ht="30" customHeight="1" x14ac:dyDescent="0.25">
      <c r="A28" s="64">
        <v>16</v>
      </c>
      <c r="B28" s="65" t="s">
        <v>21</v>
      </c>
      <c r="C28" s="60" t="s">
        <v>82</v>
      </c>
      <c r="D28" s="61"/>
    </row>
    <row r="29" spans="1:4" ht="30" customHeight="1" x14ac:dyDescent="0.25">
      <c r="A29" s="106">
        <v>17</v>
      </c>
      <c r="B29" s="111" t="s">
        <v>22</v>
      </c>
      <c r="C29" s="60" t="s">
        <v>50</v>
      </c>
      <c r="D29" s="61"/>
    </row>
    <row r="30" spans="1:4" ht="30" customHeight="1" x14ac:dyDescent="0.25">
      <c r="A30" s="107"/>
      <c r="B30" s="112"/>
      <c r="C30" s="62" t="s">
        <v>51</v>
      </c>
      <c r="D30" s="63"/>
    </row>
    <row r="31" spans="1:4" ht="30" customHeight="1" x14ac:dyDescent="0.25">
      <c r="A31" s="106">
        <v>18</v>
      </c>
      <c r="B31" s="111" t="s">
        <v>23</v>
      </c>
      <c r="C31" s="60" t="s">
        <v>50</v>
      </c>
      <c r="D31" s="61"/>
    </row>
    <row r="32" spans="1:4" ht="30" customHeight="1" x14ac:dyDescent="0.25">
      <c r="A32" s="107"/>
      <c r="B32" s="112"/>
      <c r="C32" s="62" t="s">
        <v>51</v>
      </c>
      <c r="D32" s="63"/>
    </row>
    <row r="33" spans="1:4" ht="19.899999999999999" customHeight="1" x14ac:dyDescent="0.25">
      <c r="A33" s="113" t="s">
        <v>52</v>
      </c>
      <c r="B33" s="114"/>
      <c r="C33" s="114"/>
      <c r="D33" s="115"/>
    </row>
    <row r="34" spans="1:4" ht="19.899999999999999" customHeight="1" x14ac:dyDescent="0.25">
      <c r="A34" s="108" t="s">
        <v>4</v>
      </c>
      <c r="B34" s="109"/>
      <c r="C34" s="109"/>
      <c r="D34" s="110"/>
    </row>
    <row r="35" spans="1:4" ht="30" customHeight="1" x14ac:dyDescent="0.25">
      <c r="A35" s="106">
        <v>19</v>
      </c>
      <c r="B35" s="111" t="s">
        <v>24</v>
      </c>
      <c r="C35" s="60" t="s">
        <v>50</v>
      </c>
      <c r="D35" s="61"/>
    </row>
    <row r="36" spans="1:4" ht="30" customHeight="1" x14ac:dyDescent="0.25">
      <c r="A36" s="107"/>
      <c r="B36" s="112"/>
      <c r="C36" s="62" t="s">
        <v>51</v>
      </c>
      <c r="D36" s="63"/>
    </row>
    <row r="37" spans="1:4" ht="30" customHeight="1" x14ac:dyDescent="0.25">
      <c r="A37" s="64">
        <v>20</v>
      </c>
      <c r="B37" s="65" t="s">
        <v>25</v>
      </c>
      <c r="C37" s="60" t="s">
        <v>82</v>
      </c>
      <c r="D37" s="61"/>
    </row>
    <row r="38" spans="1:4" ht="19.899999999999999" customHeight="1" x14ac:dyDescent="0.25">
      <c r="A38" s="108" t="s">
        <v>5</v>
      </c>
      <c r="B38" s="109"/>
      <c r="C38" s="109"/>
      <c r="D38" s="110"/>
    </row>
    <row r="39" spans="1:4" ht="30" customHeight="1" x14ac:dyDescent="0.25">
      <c r="A39" s="106">
        <v>21</v>
      </c>
      <c r="B39" s="111" t="s">
        <v>26</v>
      </c>
      <c r="C39" s="60" t="s">
        <v>50</v>
      </c>
      <c r="D39" s="61"/>
    </row>
    <row r="40" spans="1:4" ht="30" customHeight="1" x14ac:dyDescent="0.25">
      <c r="A40" s="107"/>
      <c r="B40" s="112"/>
      <c r="C40" s="62" t="s">
        <v>51</v>
      </c>
      <c r="D40" s="63"/>
    </row>
    <row r="41" spans="1:4" ht="30" customHeight="1" x14ac:dyDescent="0.25">
      <c r="A41" s="64">
        <v>22</v>
      </c>
      <c r="B41" s="65" t="s">
        <v>27</v>
      </c>
      <c r="C41" s="60" t="s">
        <v>82</v>
      </c>
      <c r="D41" s="61"/>
    </row>
    <row r="42" spans="1:4" ht="30" customHeight="1" x14ac:dyDescent="0.25">
      <c r="A42" s="64">
        <v>23</v>
      </c>
      <c r="B42" s="65" t="s">
        <v>28</v>
      </c>
      <c r="C42" s="60" t="s">
        <v>82</v>
      </c>
      <c r="D42" s="61"/>
    </row>
    <row r="43" spans="1:4" ht="30" customHeight="1" x14ac:dyDescent="0.25">
      <c r="A43" s="106">
        <v>24</v>
      </c>
      <c r="B43" s="111" t="s">
        <v>29</v>
      </c>
      <c r="C43" s="60" t="s">
        <v>50</v>
      </c>
      <c r="D43" s="61"/>
    </row>
    <row r="44" spans="1:4" ht="30" customHeight="1" x14ac:dyDescent="0.25">
      <c r="A44" s="107"/>
      <c r="B44" s="112"/>
      <c r="C44" s="62" t="s">
        <v>51</v>
      </c>
      <c r="D44" s="63"/>
    </row>
    <row r="45" spans="1:4" ht="30" customHeight="1" x14ac:dyDescent="0.25">
      <c r="A45" s="106">
        <v>25</v>
      </c>
      <c r="B45" s="111" t="s">
        <v>30</v>
      </c>
      <c r="C45" s="60" t="s">
        <v>50</v>
      </c>
      <c r="D45" s="61"/>
    </row>
    <row r="46" spans="1:4" ht="30" customHeight="1" x14ac:dyDescent="0.25">
      <c r="A46" s="107"/>
      <c r="B46" s="112"/>
      <c r="C46" s="62" t="s">
        <v>51</v>
      </c>
      <c r="D46" s="63"/>
    </row>
    <row r="47" spans="1:4" ht="30" customHeight="1" x14ac:dyDescent="0.25">
      <c r="A47" s="106">
        <v>26</v>
      </c>
      <c r="B47" s="111" t="s">
        <v>31</v>
      </c>
      <c r="C47" s="60" t="s">
        <v>50</v>
      </c>
      <c r="D47" s="61"/>
    </row>
    <row r="48" spans="1:4" ht="30" customHeight="1" x14ac:dyDescent="0.25">
      <c r="A48" s="107"/>
      <c r="B48" s="112"/>
      <c r="C48" s="62" t="s">
        <v>51</v>
      </c>
      <c r="D48" s="63"/>
    </row>
    <row r="49" spans="1:4" ht="30" customHeight="1" x14ac:dyDescent="0.25">
      <c r="A49" s="106">
        <v>27</v>
      </c>
      <c r="B49" s="111" t="s">
        <v>32</v>
      </c>
      <c r="C49" s="60" t="s">
        <v>50</v>
      </c>
      <c r="D49" s="61"/>
    </row>
    <row r="50" spans="1:4" ht="30" customHeight="1" x14ac:dyDescent="0.25">
      <c r="A50" s="107"/>
      <c r="B50" s="112"/>
      <c r="C50" s="62" t="s">
        <v>51</v>
      </c>
      <c r="D50" s="63"/>
    </row>
    <row r="51" spans="1:4" ht="19.899999999999999" customHeight="1" x14ac:dyDescent="0.25">
      <c r="A51" s="113" t="s">
        <v>53</v>
      </c>
      <c r="B51" s="114"/>
      <c r="C51" s="114"/>
      <c r="D51" s="115"/>
    </row>
    <row r="52" spans="1:4" ht="19.899999999999999" customHeight="1" x14ac:dyDescent="0.25">
      <c r="A52" s="108" t="s">
        <v>4</v>
      </c>
      <c r="B52" s="109"/>
      <c r="C52" s="109"/>
      <c r="D52" s="110"/>
    </row>
    <row r="53" spans="1:4" ht="30" customHeight="1" x14ac:dyDescent="0.25">
      <c r="A53" s="106">
        <v>28</v>
      </c>
      <c r="B53" s="111" t="s">
        <v>42</v>
      </c>
      <c r="C53" s="60" t="s">
        <v>50</v>
      </c>
      <c r="D53" s="61"/>
    </row>
    <row r="54" spans="1:4" ht="30" customHeight="1" x14ac:dyDescent="0.25">
      <c r="A54" s="107"/>
      <c r="B54" s="112"/>
      <c r="C54" s="62" t="s">
        <v>51</v>
      </c>
      <c r="D54" s="63"/>
    </row>
    <row r="55" spans="1:4" ht="30" customHeight="1" x14ac:dyDescent="0.25">
      <c r="A55" s="106"/>
      <c r="B55" s="121" t="s">
        <v>41</v>
      </c>
      <c r="C55" s="60" t="s">
        <v>50</v>
      </c>
      <c r="D55" s="61"/>
    </row>
    <row r="56" spans="1:4" ht="30" customHeight="1" x14ac:dyDescent="0.25">
      <c r="A56" s="107"/>
      <c r="B56" s="122"/>
      <c r="C56" s="62" t="s">
        <v>51</v>
      </c>
      <c r="D56" s="63"/>
    </row>
    <row r="57" spans="1:4" ht="30" customHeight="1" x14ac:dyDescent="0.25">
      <c r="A57" s="106"/>
      <c r="B57" s="121" t="s">
        <v>40</v>
      </c>
      <c r="C57" s="60" t="s">
        <v>50</v>
      </c>
      <c r="D57" s="61"/>
    </row>
    <row r="58" spans="1:4" ht="30" customHeight="1" x14ac:dyDescent="0.25">
      <c r="A58" s="107"/>
      <c r="B58" s="123"/>
      <c r="C58" s="62" t="s">
        <v>51</v>
      </c>
      <c r="D58" s="63"/>
    </row>
    <row r="59" spans="1:4" ht="30" customHeight="1" x14ac:dyDescent="0.25">
      <c r="A59" s="106">
        <v>29</v>
      </c>
      <c r="B59" s="111" t="s">
        <v>33</v>
      </c>
      <c r="C59" s="60" t="s">
        <v>50</v>
      </c>
      <c r="D59" s="61"/>
    </row>
    <row r="60" spans="1:4" ht="30" customHeight="1" x14ac:dyDescent="0.25">
      <c r="A60" s="107"/>
      <c r="B60" s="112"/>
      <c r="C60" s="62" t="s">
        <v>51</v>
      </c>
      <c r="D60" s="63"/>
    </row>
    <row r="61" spans="1:4" ht="30" customHeight="1" x14ac:dyDescent="0.25">
      <c r="A61" s="64">
        <v>30</v>
      </c>
      <c r="B61" s="65" t="s">
        <v>43</v>
      </c>
      <c r="C61" s="60" t="s">
        <v>82</v>
      </c>
      <c r="D61" s="61"/>
    </row>
    <row r="62" spans="1:4" ht="30" customHeight="1" x14ac:dyDescent="0.25">
      <c r="A62" s="64">
        <v>31</v>
      </c>
      <c r="B62" s="65" t="s">
        <v>44</v>
      </c>
      <c r="C62" s="60" t="s">
        <v>82</v>
      </c>
      <c r="D62" s="61"/>
    </row>
    <row r="63" spans="1:4" ht="30" customHeight="1" x14ac:dyDescent="0.25">
      <c r="A63" s="106">
        <v>32</v>
      </c>
      <c r="B63" s="111" t="s">
        <v>45</v>
      </c>
      <c r="C63" s="60" t="s">
        <v>50</v>
      </c>
      <c r="D63" s="61"/>
    </row>
    <row r="64" spans="1:4" ht="30" customHeight="1" x14ac:dyDescent="0.25">
      <c r="A64" s="107"/>
      <c r="B64" s="112"/>
      <c r="C64" s="62" t="s">
        <v>51</v>
      </c>
      <c r="D64" s="63"/>
    </row>
    <row r="65" spans="1:4" ht="30" customHeight="1" x14ac:dyDescent="0.25">
      <c r="A65" s="106">
        <v>33</v>
      </c>
      <c r="B65" s="111" t="s">
        <v>34</v>
      </c>
      <c r="C65" s="60" t="s">
        <v>50</v>
      </c>
      <c r="D65" s="61" t="s">
        <v>114</v>
      </c>
    </row>
    <row r="66" spans="1:4" ht="30" customHeight="1" x14ac:dyDescent="0.25">
      <c r="A66" s="107"/>
      <c r="B66" s="112"/>
      <c r="C66" s="62" t="s">
        <v>51</v>
      </c>
      <c r="D66" s="61" t="s">
        <v>114</v>
      </c>
    </row>
    <row r="67" spans="1:4" ht="19.899999999999999" customHeight="1" x14ac:dyDescent="0.25">
      <c r="A67" s="108" t="s">
        <v>35</v>
      </c>
      <c r="B67" s="109"/>
      <c r="C67" s="109"/>
      <c r="D67" s="110"/>
    </row>
    <row r="68" spans="1:4" ht="30" customHeight="1" x14ac:dyDescent="0.25">
      <c r="A68" s="106">
        <v>34</v>
      </c>
      <c r="B68" s="111" t="s">
        <v>36</v>
      </c>
      <c r="C68" s="60" t="s">
        <v>50</v>
      </c>
      <c r="D68" s="61"/>
    </row>
    <row r="69" spans="1:4" ht="30" customHeight="1" x14ac:dyDescent="0.25">
      <c r="A69" s="107"/>
      <c r="B69" s="112"/>
      <c r="C69" s="62" t="s">
        <v>51</v>
      </c>
      <c r="D69" s="63"/>
    </row>
    <row r="70" spans="1:4" ht="30" customHeight="1" x14ac:dyDescent="0.25">
      <c r="A70" s="106">
        <v>35</v>
      </c>
      <c r="B70" s="111" t="s">
        <v>37</v>
      </c>
      <c r="C70" s="60" t="s">
        <v>50</v>
      </c>
      <c r="D70" s="61"/>
    </row>
    <row r="71" spans="1:4" ht="30" customHeight="1" x14ac:dyDescent="0.25">
      <c r="A71" s="107"/>
      <c r="B71" s="112"/>
      <c r="C71" s="62" t="s">
        <v>101</v>
      </c>
      <c r="D71" s="63"/>
    </row>
    <row r="72" spans="1:4" ht="19.899999999999999" customHeight="1" x14ac:dyDescent="0.25">
      <c r="A72" s="108" t="s">
        <v>5</v>
      </c>
      <c r="B72" s="109"/>
      <c r="C72" s="109"/>
      <c r="D72" s="110"/>
    </row>
    <row r="73" spans="1:4" ht="30" customHeight="1" x14ac:dyDescent="0.25">
      <c r="A73" s="106">
        <v>36</v>
      </c>
      <c r="B73" s="111" t="s">
        <v>46</v>
      </c>
      <c r="C73" s="60" t="s">
        <v>50</v>
      </c>
      <c r="D73" s="61"/>
    </row>
    <row r="74" spans="1:4" ht="30" customHeight="1" x14ac:dyDescent="0.25">
      <c r="A74" s="107"/>
      <c r="B74" s="112"/>
      <c r="C74" s="62" t="s">
        <v>51</v>
      </c>
      <c r="D74" s="63"/>
    </row>
    <row r="75" spans="1:4" ht="30" customHeight="1" x14ac:dyDescent="0.25">
      <c r="A75" s="64">
        <v>37</v>
      </c>
      <c r="B75" s="65" t="s">
        <v>38</v>
      </c>
      <c r="C75" s="60" t="s">
        <v>82</v>
      </c>
      <c r="D75" s="61"/>
    </row>
    <row r="76" spans="1:4" ht="30" customHeight="1" x14ac:dyDescent="0.25">
      <c r="A76" s="106">
        <v>38</v>
      </c>
      <c r="B76" s="111" t="s">
        <v>39</v>
      </c>
      <c r="C76" s="60" t="s">
        <v>50</v>
      </c>
      <c r="D76" s="61"/>
    </row>
    <row r="77" spans="1:4" ht="30" customHeight="1" x14ac:dyDescent="0.25">
      <c r="A77" s="107"/>
      <c r="B77" s="112"/>
      <c r="C77" s="62" t="s">
        <v>51</v>
      </c>
      <c r="D77" s="63"/>
    </row>
    <row r="78" spans="1:4" x14ac:dyDescent="0.25">
      <c r="A78" s="24"/>
    </row>
    <row r="79" spans="1:4" x14ac:dyDescent="0.25">
      <c r="A79" s="24"/>
    </row>
    <row r="80" spans="1:4" x14ac:dyDescent="0.25">
      <c r="A80" s="24"/>
    </row>
    <row r="81" spans="1:1" x14ac:dyDescent="0.25">
      <c r="A81" s="24"/>
    </row>
    <row r="82" spans="1:1" x14ac:dyDescent="0.25">
      <c r="A82" s="24"/>
    </row>
    <row r="83" spans="1:1" x14ac:dyDescent="0.25">
      <c r="A83" s="24"/>
    </row>
    <row r="84" spans="1:1" x14ac:dyDescent="0.25">
      <c r="A84" s="24"/>
    </row>
    <row r="85" spans="1:1" x14ac:dyDescent="0.25">
      <c r="A85" s="24"/>
    </row>
    <row r="86" spans="1:1" x14ac:dyDescent="0.25">
      <c r="A86" s="24"/>
    </row>
    <row r="87" spans="1:1" x14ac:dyDescent="0.25">
      <c r="A87" s="24"/>
    </row>
    <row r="88" spans="1:1" x14ac:dyDescent="0.25">
      <c r="A88" s="24"/>
    </row>
    <row r="89" spans="1:1" x14ac:dyDescent="0.25">
      <c r="A89" s="24"/>
    </row>
  </sheetData>
  <sheetProtection sheet="1" formatCells="0" formatRows="0" selectLockedCells="1"/>
  <mergeCells count="62">
    <mergeCell ref="B59:B60"/>
    <mergeCell ref="B76:B77"/>
    <mergeCell ref="B65:B66"/>
    <mergeCell ref="A67:D67"/>
    <mergeCell ref="B68:B69"/>
    <mergeCell ref="B70:B71"/>
    <mergeCell ref="A72:D72"/>
    <mergeCell ref="B73:B74"/>
    <mergeCell ref="B63:B64"/>
    <mergeCell ref="A20:A21"/>
    <mergeCell ref="A23:A24"/>
    <mergeCell ref="B17:B18"/>
    <mergeCell ref="B20:B21"/>
    <mergeCell ref="A12:A13"/>
    <mergeCell ref="A33:D33"/>
    <mergeCell ref="A26:A27"/>
    <mergeCell ref="A29:A30"/>
    <mergeCell ref="B55:B56"/>
    <mergeCell ref="B57:B58"/>
    <mergeCell ref="B49:B50"/>
    <mergeCell ref="A31:A32"/>
    <mergeCell ref="A35:A36"/>
    <mergeCell ref="A51:D51"/>
    <mergeCell ref="A52:D52"/>
    <mergeCell ref="B53:B54"/>
    <mergeCell ref="A43:A44"/>
    <mergeCell ref="A45:A46"/>
    <mergeCell ref="A47:A48"/>
    <mergeCell ref="A49:A50"/>
    <mergeCell ref="A39:A40"/>
    <mergeCell ref="A2:D2"/>
    <mergeCell ref="A3:D3"/>
    <mergeCell ref="B43:B44"/>
    <mergeCell ref="B45:B46"/>
    <mergeCell ref="B47:B48"/>
    <mergeCell ref="B39:B40"/>
    <mergeCell ref="B35:B36"/>
    <mergeCell ref="A34:D34"/>
    <mergeCell ref="A38:D38"/>
    <mergeCell ref="B23:B24"/>
    <mergeCell ref="B31:B32"/>
    <mergeCell ref="B4:B5"/>
    <mergeCell ref="B6:B7"/>
    <mergeCell ref="B8:B9"/>
    <mergeCell ref="B12:B13"/>
    <mergeCell ref="B29:B30"/>
    <mergeCell ref="A4:A5"/>
    <mergeCell ref="A6:A7"/>
    <mergeCell ref="A8:A9"/>
    <mergeCell ref="A76:A77"/>
    <mergeCell ref="A63:A64"/>
    <mergeCell ref="A65:A66"/>
    <mergeCell ref="A68:A69"/>
    <mergeCell ref="A70:A71"/>
    <mergeCell ref="A73:A74"/>
    <mergeCell ref="A53:A54"/>
    <mergeCell ref="A55:A56"/>
    <mergeCell ref="A57:A58"/>
    <mergeCell ref="A59:A60"/>
    <mergeCell ref="A17:A18"/>
    <mergeCell ref="A19:D19"/>
    <mergeCell ref="B26:B2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Views>
    <sheetView showGridLines="0" zoomScale="80" zoomScaleNormal="80" workbookViewId="0">
      <selection activeCell="A4" sqref="A4"/>
    </sheetView>
  </sheetViews>
  <sheetFormatPr baseColWidth="10" defaultColWidth="11.42578125" defaultRowHeight="15" x14ac:dyDescent="0.25"/>
  <cols>
    <col min="1" max="2" width="100.7109375" style="57" customWidth="1"/>
    <col min="3" max="16384" width="11.42578125" style="50"/>
  </cols>
  <sheetData>
    <row r="1" spans="1:5" ht="80.099999999999994" customHeight="1" x14ac:dyDescent="0.25">
      <c r="A1" s="124" t="s">
        <v>67</v>
      </c>
      <c r="B1" s="125"/>
      <c r="D1" s="51"/>
      <c r="E1" s="51"/>
    </row>
    <row r="2" spans="1:5" ht="5.0999999999999996" customHeight="1" x14ac:dyDescent="0.25">
      <c r="A2" s="52"/>
      <c r="B2" s="52"/>
      <c r="D2" s="51"/>
      <c r="E2" s="51"/>
    </row>
    <row r="3" spans="1:5" x14ac:dyDescent="0.25">
      <c r="A3" s="53" t="s">
        <v>79</v>
      </c>
      <c r="B3" s="54" t="s">
        <v>80</v>
      </c>
      <c r="D3" s="51"/>
      <c r="E3" s="51"/>
    </row>
    <row r="4" spans="1:5" x14ac:dyDescent="0.25">
      <c r="A4" s="55"/>
      <c r="B4" s="55"/>
    </row>
    <row r="5" spans="1:5" x14ac:dyDescent="0.25">
      <c r="A5" s="56"/>
      <c r="B5" s="56"/>
    </row>
    <row r="6" spans="1:5" x14ac:dyDescent="0.25">
      <c r="A6" s="56"/>
      <c r="B6" s="56"/>
    </row>
    <row r="7" spans="1:5" x14ac:dyDescent="0.25">
      <c r="A7" s="56"/>
      <c r="B7" s="56"/>
    </row>
    <row r="8" spans="1:5" x14ac:dyDescent="0.25">
      <c r="A8" s="56"/>
      <c r="B8" s="56"/>
    </row>
    <row r="9" spans="1:5" x14ac:dyDescent="0.25">
      <c r="A9" s="56"/>
      <c r="B9" s="56"/>
    </row>
  </sheetData>
  <sheetProtection sheet="1" selectLockedCells="1"/>
  <mergeCells count="1">
    <mergeCell ref="A1:B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3"/>
  <sheetViews>
    <sheetView showGridLines="0" zoomScale="80" zoomScaleNormal="80" workbookViewId="0">
      <selection activeCell="H13" sqref="H13"/>
    </sheetView>
  </sheetViews>
  <sheetFormatPr baseColWidth="10" defaultColWidth="11.5703125" defaultRowHeight="15" x14ac:dyDescent="0.25"/>
  <cols>
    <col min="1" max="1" width="60.7109375" style="25" customWidth="1"/>
    <col min="2" max="2" width="11.7109375" style="25" bestFit="1" customWidth="1"/>
    <col min="3" max="10" width="15.7109375" style="25" customWidth="1"/>
    <col min="11" max="11" width="11.5703125" style="75"/>
    <col min="12" max="16384" width="11.5703125" style="25"/>
  </cols>
  <sheetData>
    <row r="1" spans="1:11" ht="40.15" customHeight="1" x14ac:dyDescent="0.25">
      <c r="A1" s="4"/>
      <c r="B1" s="4"/>
      <c r="C1" s="126" t="s">
        <v>0</v>
      </c>
      <c r="D1" s="126"/>
      <c r="E1" s="126" t="s">
        <v>69</v>
      </c>
      <c r="F1" s="126"/>
      <c r="G1" s="126" t="s">
        <v>70</v>
      </c>
      <c r="H1" s="126"/>
      <c r="I1" s="126" t="s">
        <v>66</v>
      </c>
      <c r="J1" s="12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27" t="s">
        <v>6</v>
      </c>
      <c r="B4" s="8" t="s">
        <v>1</v>
      </c>
      <c r="C4" s="69">
        <f>IFERROR(GETPIVOTDATA("valeur",VUE_KPI_FTTH!$A$7,"codeIndicateur","i","unite","Numérateur","maille","Maille OI","type_valeur","Valeurs Nettes","OC","(vide)"),VUE_KPI_FTTH!A1)</f>
        <v>0</v>
      </c>
      <c r="D4" s="69">
        <f>IFERROR(GETPIVOTDATA("valeur",VUE_KPI_FTTH!$A$7,"codeIndicateur","i","unite","Numérateur","maille","Maille OI","type_valeur","Valeurs Brutes","OC","(vide)"),VUE_KPI_FTTH!A1)</f>
        <v>0</v>
      </c>
      <c r="E4" s="69" t="str">
        <f>IFERROR(GETPIVOTDATA("valeur",VUE_KPI_FTTH!$A$7,"codeIndicateur","i","unite","Numérateur","maille","Maille OI (offres commercialisées sur le marché de gros activé)","type_valeur","Valeurs Nettes","OC","(vide)"),VUE_KPI_FTTH!A1)</f>
        <v>N/A</v>
      </c>
      <c r="F4" s="69" t="str">
        <f>IFERROR(GETPIVOTDATA("valeur",VUE_KPI_FTTH!$A$7,"codeIndicateur","i","unite","Numérateur","maille","Maille OI (offres commercialisées sur le marché de gros activé)","type_valeur","Valeurs Brutes","OC","(vide)"),VUE_KPI_FTTH!A1)</f>
        <v>N/A</v>
      </c>
      <c r="G4" s="69">
        <f>IFERROR(GETPIVOTDATA("valeur",VUE_KPI_FTTH!$A$7,"codeIndicateur","i","unite","Numérateur","maille","Maille OI (offres commercialisées sur le marché de détail - Autofourniture)","type_valeur","Valeurs Nettes","OC","(vide)"),VUE_KPI_FTTH!A1)</f>
        <v>0</v>
      </c>
      <c r="H4" s="69">
        <f>IFERROR(GETPIVOTDATA("valeur",VUE_KPI_FTTH!$A$7,"codeIndicateur","i","unite","Numérateur","maille","Maille OI (offres commercialisées sur le marché de détail - Autofourniture)","type_valeur","Valeurs Brutes","OC","(vide)"),VUE_KPI_FTTH!A1)</f>
        <v>0</v>
      </c>
      <c r="I4" s="69" t="str">
        <f>IFERROR(GETPIVOTDATA("valeur",VUE_KPI_FTTH!$A$7,"codeIndicateur","i","unite","Numérateur","maille","Maille d'appréciation","type_valeur","Valeurs Nettes","OC","(vide)"),VUE_KPI_FTTH!A1)</f>
        <v>N/A</v>
      </c>
      <c r="J4" s="69" t="str">
        <f>IFERROR(GETPIVOTDATA("valeur",VUE_KPI_FTTH!$A$7,"codeIndicateur","i","unite","Numérateur","maille","Maille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28"/>
      <c r="B5" s="5" t="s">
        <v>2</v>
      </c>
      <c r="C5" s="71">
        <f>IFERROR(GETPIVOTDATA("valeur",VUE_KPI_FTTH!$A$7,"codeIndicateur","i","unite","Dénominateur","maille","Maille OI","type_valeur","Valeurs Nettes","OC","(vide)"),VUE_KPI_FTTH!A1)</f>
        <v>2200</v>
      </c>
      <c r="D5" s="69">
        <f>IFERROR(GETPIVOTDATA("valeur",VUE_KPI_FTTH!$A$7,"codeIndicateur","i","unite","Dénominateur","maille","Maille OI","type_valeur","Valeurs Brutes","OC","(vide)"),VUE_KPI_FTTH!A1)</f>
        <v>2200</v>
      </c>
      <c r="E5" s="71" t="str">
        <f>IFERROR(GETPIVOTDATA("valeur",VUE_KPI_FTTH!$A$7,"codeIndicateur","i","unite","Dénominateur","maille","Maille OI (offres commercialisées sur le marché de gros activé)","type_valeur","Valeurs Nettes","OC","(vide)"),VUE_KPI_FTTH!A1)</f>
        <v>N/A</v>
      </c>
      <c r="F5" s="71" t="str">
        <f>IFERROR(GETPIVOTDATA("valeur",VUE_KPI_FTTH!$A$7,"codeIndicateur","i","unite","Dénominateur","maille","Maille OI (offres commercialisées sur le marché de gros activé)","type_valeur","Valeurs Brutes","OC","(vide)"),VUE_KPI_FTTH!A1)</f>
        <v>N/A</v>
      </c>
      <c r="G5" s="71">
        <f>IFERROR(GETPIVOTDATA("valeur",VUE_KPI_FTTH!$A$7,"codeIndicateur","i","unite","Dénominateur","maille","Maille OI (offres commercialisées sur le marché de détail - Autofourniture)","type_valeur","Valeurs Nettes","OC","(vide)"),VUE_KPI_FTTH!A1)</f>
        <v>1501</v>
      </c>
      <c r="H5" s="71">
        <f>IFERROR(GETPIVOTDATA("valeur",VUE_KPI_FTTH!$A$7,"codeIndicateur","i","unite","Dénominateur","maille","Maille OI (offres commercialisées sur le marché de détail - Autofourniture)","type_valeur","Valeurs Brutes","OC","(vide)"),VUE_KPI_FTTH!A1)</f>
        <v>1501</v>
      </c>
      <c r="I5" s="71" t="str">
        <f>IFERROR(GETPIVOTDATA("valeur",VUE_KPI_FTTH!$A$7,"codeIndicateur","i","unite","Dénominateur","maille","Maille d'appréciation","type_valeur","Valeurs Nettes","OC","(vide)"),VUE_KPI_FTTH!A1)</f>
        <v>N/A</v>
      </c>
      <c r="J5" s="71" t="str">
        <f>IFERROR(GETPIVOTDATA("valeur",VUE_KPI_FTTH!$A$7,"codeIndicateur","i","unite","Dénominateur","maille","Maille d'appréciation","type_valeur","Valeurs Brutes","OC","(vide)"),VUE_KPI_FTTH!A1)</f>
        <v>N/A</v>
      </c>
      <c r="K5" s="76" t="e">
        <f t="shared" ref="K5:K42"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8"/>
      <c r="B6" s="5" t="s">
        <v>3</v>
      </c>
      <c r="C6" s="73">
        <f>IF(OR(C5="",C5="N/A",C5="NC",C5="ND"),"",C4/C5)</f>
        <v>0</v>
      </c>
      <c r="D6" s="73">
        <f t="shared" ref="D6:J6" si="1">IF(OR(D5="",D5="N/A",D5="NC",D5="ND"),"",D4/D5)</f>
        <v>0</v>
      </c>
      <c r="E6" s="73" t="str">
        <f t="shared" si="1"/>
        <v/>
      </c>
      <c r="F6" s="73" t="str">
        <f t="shared" si="1"/>
        <v/>
      </c>
      <c r="G6" s="73">
        <f t="shared" si="1"/>
        <v>0</v>
      </c>
      <c r="H6" s="73">
        <f t="shared" si="1"/>
        <v>0</v>
      </c>
      <c r="I6" s="73" t="str">
        <f t="shared" si="1"/>
        <v/>
      </c>
      <c r="J6" s="73" t="str">
        <f t="shared" si="1"/>
        <v/>
      </c>
      <c r="K6" s="76" t="e">
        <f t="shared" ca="1" si="0"/>
        <v>#NAME?</v>
      </c>
    </row>
    <row r="7" spans="1:11" ht="30" customHeight="1" x14ac:dyDescent="0.25">
      <c r="A7" s="127" t="s">
        <v>7</v>
      </c>
      <c r="B7" s="8" t="s">
        <v>1</v>
      </c>
      <c r="C7" s="69" t="str">
        <f>IFERROR(GETPIVOTDATA("valeur",VUE_KPI_FTTH!$A$7,"codeIndicateur","ii","unite","Numérateur","maille","Maille OI","type_valeur","Valeurs Nettes","OC","(vide)"),VUE_KPI_FTTH!A1)</f>
        <v>N/A</v>
      </c>
      <c r="D7" s="69">
        <f>IFERROR(GETPIVOTDATA("valeur",VUE_KPI_FTTH!$A$7,"codeIndicateur","ii","unite","Numérateur","maille","Maille OI","type_valeur","Valeurs Brutes","OC","(vide)"),VUE_KPI_FTTH!A2)</f>
        <v>0</v>
      </c>
      <c r="E7" s="69" t="str">
        <f>IFERROR(GETPIVOTDATA("valeur",VUE_KPI_FTTH!$A$7,"codeIndicateur","ii","unite","Numérateur","maille","Maille OI (offres commercialisées sur le marché de gros activé)","type_valeur","Valeurs Nettes","OC","(vide)"),VUE_KPI_FTTH!A1)</f>
        <v>N/A</v>
      </c>
      <c r="F7" s="69">
        <f>IFERROR(GETPIVOTDATA("valeur",VUE_KPI_FTTH!$A$7,"codeIndicateur","ii","unite","Numérateur","maille","Maille OI (offres commercialisées sur le marché de gros activé)","type_valeur","Valeurs Brutes","OC","(vide)"),VUE_KPI_FTTH!A2)</f>
        <v>0</v>
      </c>
      <c r="G7" s="69" t="str">
        <f>IFERROR(GETPIVOTDATA("valeur",VUE_KPI_FTTH!$A$7,"codeIndicateur","ii","unite","Numérateur","maille","Maille OI (offres commercialisées sur le marché de détail - Autofourniture)","type_valeur","Valeurs Nettes","OC","(vide)"),VUE_KPI_FTTH!A1)</f>
        <v>N/A</v>
      </c>
      <c r="H7" s="69">
        <f>IFERROR(GETPIVOTDATA("valeur",VUE_KPI_FTTH!$A$7,"codeIndicateur","ii","unite","Numérateur","maille","Maille OI (offres commercialisées sur le marché de détail - Autofourniture)","type_valeur","Valeurs Brutes","OC","(vide)"),VUE_KPI_FTTH!A2)</f>
        <v>0</v>
      </c>
      <c r="I7" s="69" t="str">
        <f>IFERROR(GETPIVOTDATA("valeur",VUE_KPI_FTTH!$A$7,"codeIndicateur","ii","unite","Numérateur","maille","Maille d'appréciation","type_valeur","Valeurs Nettes","OC","(vide)"),VUE_KPI_FTTH!A1)</f>
        <v>N/A</v>
      </c>
      <c r="J7" s="69" t="str">
        <f>IFERROR(GETPIVOTDATA("valeur",VUE_KPI_FTTH!$A$7,"codeIndicateur","ii","unite","Numérateur","maille","Maille d'appréciation","type_valeur","Valeurs Brutes","OC","(vide)"),VUE_KPI_FTTH!A1)</f>
        <v>N/A</v>
      </c>
      <c r="K7" s="76" t="e">
        <f t="shared" ca="1" si="0"/>
        <v>#NAME?</v>
      </c>
    </row>
    <row r="8" spans="1:11" ht="30" customHeight="1" x14ac:dyDescent="0.25">
      <c r="A8" s="128"/>
      <c r="B8" s="5" t="s">
        <v>2</v>
      </c>
      <c r="C8" s="71" t="str">
        <f>IFERROR(GETPIVOTDATA("valeur",VUE_KPI_FTTH!$A$7,"codeIndicateur","ii","unite","Dénominateur","maille","Maille OI","type_valeur","Valeurs Nettes","OC","(vide)"),VUE_KPI_FTTH!A1)</f>
        <v>N/A</v>
      </c>
      <c r="D8" s="69">
        <f>IFERROR(GETPIVOTDATA("valeur",VUE_KPI_FTTH!$A$7,"codeIndicateur","ii","unite","Dénominateur","maille","Maille OI","type_valeur","Valeurs Brutes","OC","(vide)"),VUE_KPI_FTTH!A2)</f>
        <v>0</v>
      </c>
      <c r="E8" s="71" t="str">
        <f>IFERROR(GETPIVOTDATA("valeur",VUE_KPI_FTTH!$A$7,"codeIndicateur","ii","unite","Dénominateur","maille","Maille OI (offres commercialisées sur le marché de gros activé)","type_valeur","Valeurs Nettes","OC","(vide)"),VUE_KPI_FTTH!A1)</f>
        <v>N/A</v>
      </c>
      <c r="F8" s="71">
        <f>IFERROR(GETPIVOTDATA("valeur",VUE_KPI_FTTH!$A$7,"codeIndicateur","ii","unite","Dénominateur","maille","Maille OI (offres commercialisées sur le marché de gros activé)","type_valeur","Valeurs Brutes","OC","(vide)"),VUE_KPI_FTTH!A2)</f>
        <v>0</v>
      </c>
      <c r="G8" s="71" t="str">
        <f>IFERROR(GETPIVOTDATA("valeur",VUE_KPI_FTTH!$A$7,"codeIndicateur","ii","unite","Dénominateur","maille","Maille OI (offres commercialisées sur le marché de détail - Autofourniture)","type_valeur","Valeurs Nettes","OC","(vide)"),VUE_KPI_FTTH!A1)</f>
        <v>N/A</v>
      </c>
      <c r="H8" s="71">
        <f>IFERROR(GETPIVOTDATA("valeur",VUE_KPI_FTTH!$A$7,"codeIndicateur","ii","unite","Dénominateur","maille","Maille OI (offres commercialisées sur le marché de détail - Autofourniture)","type_valeur","Valeurs Brutes","OC","(vide)"),VUE_KPI_FTTH!A2)</f>
        <v>0</v>
      </c>
      <c r="I8" s="71" t="str">
        <f>IFERROR(GETPIVOTDATA("valeur",VUE_KPI_FTTH!$A$7,"codeIndicateur","ii","unite","Dénominateur","maille","Maille d'appréciation","type_valeur","Valeurs Nettes","OC","(vide)"),VUE_KPI_FTTH!A1)</f>
        <v>N/A</v>
      </c>
      <c r="J8" s="71" t="str">
        <f>IFERROR(GETPIVOTDATA("valeur",VUE_KPI_FTTH!$A$7,"codeIndicateur","ii","unite","Dénominateur","maille","Maille d'appréciation","type_valeur","Valeurs Brutes","OC","(vide)"),VUE_KPI_FTTH!A1)</f>
        <v>N/A</v>
      </c>
      <c r="K8" s="76" t="e">
        <f t="shared" ca="1" si="0"/>
        <v>#NAME?</v>
      </c>
    </row>
    <row r="9" spans="1:11" ht="30" customHeight="1" x14ac:dyDescent="0.25">
      <c r="A9" s="128"/>
      <c r="B9" s="5" t="s">
        <v>3</v>
      </c>
      <c r="C9" s="73" t="str">
        <f t="shared" ref="C9:J9" si="2">IF(OR(C8="",C8="N/A",C8="NC",C8="ND"),"",C7/C8)</f>
        <v/>
      </c>
      <c r="D9" s="73" t="e">
        <f t="shared" si="2"/>
        <v>#DIV/0!</v>
      </c>
      <c r="E9" s="73" t="str">
        <f t="shared" si="2"/>
        <v/>
      </c>
      <c r="F9" s="73" t="e">
        <f t="shared" si="2"/>
        <v>#DIV/0!</v>
      </c>
      <c r="G9" s="73" t="str">
        <f t="shared" si="2"/>
        <v/>
      </c>
      <c r="H9" s="73" t="e">
        <f t="shared" si="2"/>
        <v>#DIV/0!</v>
      </c>
      <c r="I9" s="73" t="str">
        <f t="shared" si="2"/>
        <v/>
      </c>
      <c r="J9" s="73" t="str">
        <f t="shared" si="2"/>
        <v/>
      </c>
      <c r="K9" s="76" t="e">
        <f t="shared" ca="1" si="0"/>
        <v>#NAME?</v>
      </c>
    </row>
    <row r="10" spans="1:11" ht="30" customHeight="1" x14ac:dyDescent="0.25">
      <c r="A10" s="127" t="s">
        <v>8</v>
      </c>
      <c r="B10" s="8" t="s">
        <v>1</v>
      </c>
      <c r="C10" s="69" t="str">
        <f>IFERROR(GETPIVOTDATA("valeur",VUE_KPI_FTTH!$A$7,"codeIndicateur","iii","unite","Numérateur","maille","Maille OI","type_valeur","Valeurs Nettes","OC","(vide)"),VUE_KPI_FTTH!A1)</f>
        <v>N/A</v>
      </c>
      <c r="D10" s="70">
        <f>IFERROR(GETPIVOTDATA("valeur",VUE_KPI_FTTH!$A$7,"codeIndicateur","iii","unite","Numérateur","maille","Maille OI","type_valeur","Valeurs Brutes","OC","(vide)"),VUE_KPI_FTTH!A2)</f>
        <v>22</v>
      </c>
      <c r="E10" s="69" t="str">
        <f>IFERROR(GETPIVOTDATA("valeur",VUE_KPI_FTTH!$A$7,"codeIndicateur","iii","unite","Numérateur","maille","Maille OI (offres commercialisées sur le marché de gros activé)","type_valeur","Valeurs Nettes","OC","(vide)"),VUE_KPI_FTTH!A1)</f>
        <v>N/A</v>
      </c>
      <c r="F10" s="70">
        <f>IFERROR(GETPIVOTDATA("valeur",VUE_KPI_FTTH!$A$7,"codeIndicateur","iii","unite","Numérateur","maille","Maille OI (offres commercialisées sur le marché de gros activé)","type_valeur","Valeurs Brutes","OC","(vide)"),VUE_KPI_FTTH!A2)</f>
        <v>0</v>
      </c>
      <c r="G10" s="69" t="str">
        <f>IFERROR(GETPIVOTDATA("valeur",VUE_KPI_FTTH!$A$7,"codeIndicateur","iii","unite","Numérateur","maille","Maille OI (offres commercialisées sur le marché de détail - Autofourniture)","type_valeur","Valeurs Nettes","OC","(vide)"),VUE_KPI_FTTH!A1)</f>
        <v>N/A</v>
      </c>
      <c r="H10" s="70">
        <f>IFERROR(GETPIVOTDATA("valeur",VUE_KPI_FTTH!$A$7,"codeIndicateur","iii","unite","Numérateur","maille","Maille OI (offres commercialisées sur le marché de détail - Autofourniture)","type_valeur","Valeurs Brutes","OC","(vide)"),VUE_KPI_FTTH!A2)</f>
        <v>18</v>
      </c>
      <c r="I10" s="69" t="str">
        <f>IFERROR(GETPIVOTDATA("valeur",VUE_KPI_FTTH!$A$7,"codeIndicateur","iii","unite","Numérateur","maille","Maille d'appréciation","type_valeur","Valeurs Nettes","OC","(vide)"),VUE_KPI_FTTH!A1)</f>
        <v>N/A</v>
      </c>
      <c r="J10" s="70" t="str">
        <f>IFERROR(GETPIVOTDATA("valeur",VUE_KPI_FTTH!$A$7,"codeIndicateur","iii","unite","Numérateur","maille","Maille d'appréciation","type_valeur","Valeurs Brutes","OC","(vide)"),VUE_KPI_FTTH!A1)</f>
        <v>N/A</v>
      </c>
      <c r="K10" s="76" t="e">
        <f t="shared" ca="1" si="0"/>
        <v>#NAME?</v>
      </c>
    </row>
    <row r="11" spans="1:11" ht="30" customHeight="1" x14ac:dyDescent="0.25">
      <c r="A11" s="128"/>
      <c r="B11" s="5" t="s">
        <v>2</v>
      </c>
      <c r="C11" s="71" t="str">
        <f>IFERROR(GETPIVOTDATA("valeur",VUE_KPI_FTTH!$A$7,"codeIndicateur","iii","unite","Dénominateur","maille","Maille OI","type_valeur","Valeurs Nettes","OC","(vide)"),VUE_KPI_FTTH!A1)</f>
        <v>N/A</v>
      </c>
      <c r="D11" s="72">
        <f>IFERROR(GETPIVOTDATA("valeur",VUE_KPI_FTTH!$A$7,"codeIndicateur","iii","unite","Dénominateur","maille","Maille OI","type_valeur","Valeurs Brutes","OC","(vide)"),VUE_KPI_FTTH!A2)</f>
        <v>828</v>
      </c>
      <c r="E11" s="71" t="str">
        <f>IFERROR(GETPIVOTDATA("valeur",VUE_KPI_FTTH!$A$7,"codeIndicateur","iii","unite","Dénominateur","maille","Maille OI (offres commercialisées sur le marché de gros activé)","type_valeur","Valeurs Nettes","OC","(vide)"),VUE_KPI_FTTH!A1)</f>
        <v>N/A</v>
      </c>
      <c r="F11" s="72">
        <f>IFERROR(GETPIVOTDATA("valeur",VUE_KPI_FTTH!$A$7,"codeIndicateur","iii","unite","Dénominateur","maille","Maille OI (offres commercialisées sur le marché de gros activé)","type_valeur","Valeurs Brutes","OC","(vide)"),VUE_KPI_FTTH!A2)</f>
        <v>0</v>
      </c>
      <c r="G11" s="71" t="str">
        <f>IFERROR(GETPIVOTDATA("valeur",VUE_KPI_FTTH!$A$7,"codeIndicateur","iii","unite","Dénominateur","maille","Maille OI (offres commercialisées sur le marché de détail - Autofourniture)","type_valeur","Valeurs Nettes","OC","(vide)"),VUE_KPI_FTTH!A1)</f>
        <v>N/A</v>
      </c>
      <c r="H11" s="72">
        <f>IFERROR(GETPIVOTDATA("valeur",VUE_KPI_FTTH!$A$7,"codeIndicateur","iii","unite","Dénominateur","maille","Maille OI (offres commercialisées sur le marché de détail - Autofourniture)","type_valeur","Valeurs Brutes","OC","(vide)"),VUE_KPI_FTTH!A2)</f>
        <v>598</v>
      </c>
      <c r="I11" s="71" t="str">
        <f>IFERROR(GETPIVOTDATA("valeur",VUE_KPI_FTTH!$A$7,"codeIndicateur","iii","unite","Dénominateur","maille","Maille d'appréciation","type_valeur","Valeurs Nettes","OC","(vide)"),VUE_KPI_FTTH!A1)</f>
        <v>N/A</v>
      </c>
      <c r="J11" s="72" t="str">
        <f>IFERROR(GETPIVOTDATA("valeur",VUE_KPI_FTTH!$A$7,"codeIndicateur","iii","unite","Dénominateur","maille","Maille d'appréciation","type_valeur","Valeurs Brutes","OC","(vide)"),VUE_KPI_FTTH!A1)</f>
        <v>N/A</v>
      </c>
      <c r="K11" s="76" t="e">
        <f t="shared" ca="1" si="0"/>
        <v>#NAME?</v>
      </c>
    </row>
    <row r="12" spans="1:11" ht="30" customHeight="1" x14ac:dyDescent="0.25">
      <c r="A12" s="128"/>
      <c r="B12" s="5" t="s">
        <v>3</v>
      </c>
      <c r="C12" s="73" t="str">
        <f t="shared" ref="C12:J12" si="3">IF(OR(C11="",C11="N/A",C11="NC",C11="ND"),"",C10/C11)</f>
        <v/>
      </c>
      <c r="D12" s="73">
        <f t="shared" si="3"/>
        <v>2.6570048309178744E-2</v>
      </c>
      <c r="E12" s="73" t="str">
        <f t="shared" si="3"/>
        <v/>
      </c>
      <c r="F12" s="73" t="e">
        <f t="shared" si="3"/>
        <v>#DIV/0!</v>
      </c>
      <c r="G12" s="73" t="str">
        <f t="shared" si="3"/>
        <v/>
      </c>
      <c r="H12" s="73">
        <f t="shared" si="3"/>
        <v>3.0100334448160536E-2</v>
      </c>
      <c r="I12" s="73" t="str">
        <f t="shared" si="3"/>
        <v/>
      </c>
      <c r="J12" s="73" t="str">
        <f t="shared" si="3"/>
        <v/>
      </c>
      <c r="K12" s="76" t="e">
        <f t="shared" ca="1" si="0"/>
        <v>#NAME?</v>
      </c>
    </row>
    <row r="13" spans="1:11" ht="30" customHeight="1" x14ac:dyDescent="0.25">
      <c r="A13" s="80" t="s">
        <v>9</v>
      </c>
      <c r="B13" s="5" t="s">
        <v>71</v>
      </c>
      <c r="C13" s="67" t="str">
        <f>IFERROR(GETPIVOTDATA("valeur",VUE_KPI_FTTH!$A$7,"codeIndicateur","iv","unite","80e centile","maille","Maille OI","type_valeur","Valeurs Nettes","OC","(vide)"),VUE_KPI_FTTH!A1)</f>
        <v>N/A</v>
      </c>
      <c r="D13" s="68">
        <f>IFERROR(GETPIVOTDATA("valeur",VUE_KPI_FTTH!$A$7,"codeIndicateur","iv","unite","80e centile","maille","Maille OI","type_valeur","Valeurs Brutes","OC","(vide)"),VUE_KPI_FTTH!A1)</f>
        <v>72.900000000000006</v>
      </c>
      <c r="E13" s="67" t="str">
        <f>IFERROR(GETPIVOTDATA("valeur",VUE_KPI_FTTH!$A$7,"codeIndicateur","iv","unite","80e centile","maille","Maille OI (offres commercialisées sur le marché de gros activé)","type_valeur","Valeurs Nettes","OC","(vide)"),VUE_KPI_FTTH!A1)</f>
        <v>N/A</v>
      </c>
      <c r="F13" s="68" t="str">
        <f>IFERROR(GETPIVOTDATA("valeur",VUE_KPI_FTTH!$A$7,"codeIndicateur","iv","unite","80e centile","maille","Maille OI (offres commercialisées sur le marché de gros activé)","type_valeur","Valeurs Brutes","OC","(vide)"),VUE_KPI_FTTH!A1)</f>
        <v>N/A</v>
      </c>
      <c r="G13" s="67" t="str">
        <f>IFERROR(GETPIVOTDATA("valeur",VUE_KPI_FTTH!$A$7,"codeIndicateur","iv","unite","80e centile","maille","Maille OI (offres commercialisées sur le marché de détail - Autofourniture)","type_valeur","Valeurs Nettes","OC","(vide)"),VUE_KPI_FTTH!A1)</f>
        <v>N/A</v>
      </c>
      <c r="H13" s="68">
        <f>IFERROR(GETPIVOTDATA("valeur",VUE_KPI_FTTH!$A$7,"codeIndicateur","iv","unite","80e centile","maille","Maille OI (offres commercialisées sur le marché de détail - Autofourniture)","type_valeur","Valeurs Brutes","OC","(vide)"),VUE_KPI_FTTH!A1)</f>
        <v>72.900000000000006</v>
      </c>
      <c r="I13" s="67" t="str">
        <f>IFERROR(GETPIVOTDATA("valeur",VUE_KPI_FTTH!$A$7,"codeIndicateur","iv","unite","80e centile","maille","Maille d'appréciation","type_valeur","Valeurs Nettes","OC","(vide)"),VUE_KPI_FTTH!A1)</f>
        <v>N/A</v>
      </c>
      <c r="J13" s="68" t="str">
        <f>IFERROR(GETPIVOTDATA("valeur",VUE_KPI_FTTH!$A$7,"codeIndicateur","iv","unite","80e centile","maille","Maille d'appréciation","type_valeur","Valeurs Brutes","OC","(vide)"),VUE_KPI_FTTH!A1)</f>
        <v>N/A</v>
      </c>
      <c r="K13" s="76" t="e">
        <f t="shared" ca="1" si="0"/>
        <v>#NAME?</v>
      </c>
    </row>
    <row r="14" spans="1:11" ht="30" customHeight="1" x14ac:dyDescent="0.25">
      <c r="A14" s="80" t="s">
        <v>10</v>
      </c>
      <c r="B14" s="5" t="s">
        <v>71</v>
      </c>
      <c r="C14" s="67" t="str">
        <f>IFERROR(GETPIVOTDATA("valeur",VUE_KPI_FTTH!$A$7,"codeIndicateur","v","unite","80e centile","maille","Maille OI","type_valeur","Valeurs Nettes","OC","(vide)"),VUE_KPI_FTTH!A1)</f>
        <v>N/A</v>
      </c>
      <c r="D14" s="68">
        <f>IFERROR(GETPIVOTDATA("valeur",VUE_KPI_FTTH!$A$7,"codeIndicateur","v","unite","80e centile","maille","Maille OI","type_valeur","Valeurs Brutes","OC","(vide)"),VUE_KPI_FTTH!A1)</f>
        <v>62.6</v>
      </c>
      <c r="E14" s="67" t="str">
        <f>IFERROR(GETPIVOTDATA("valeur",VUE_KPI_FTTH!$A$7,"codeIndicateur","v","unite","80e centile","maille","Maille OI (offres commercialisées sur le marché de gros activé)","type_valeur","Valeurs Nettes","OC","(vide)"),VUE_KPI_FTTH!A1)</f>
        <v>N/A</v>
      </c>
      <c r="F14" s="68" t="str">
        <f>IFERROR(GETPIVOTDATA("valeur",VUE_KPI_FTTH!$A$7,"codeIndicateur","v","unite","80e centile","maille","Maille OI (offres commercialisées sur le marché de gros activé)","type_valeur","Valeurs Brutes","OC","(vide)"),VUE_KPI_FTTH!A1)</f>
        <v>N/A</v>
      </c>
      <c r="G14" s="67" t="str">
        <f>IFERROR(GETPIVOTDATA("valeur",VUE_KPI_FTTH!$A$7,"codeIndicateur","v","unite","80e centile","maille","Maille OI (offres commercialisées sur le marché de détail - Autofourniture)","type_valeur","Valeurs Nettes","OC","(vide)"),VUE_KPI_FTTH!A1)</f>
        <v>N/A</v>
      </c>
      <c r="H14" s="68">
        <f>IFERROR(GETPIVOTDATA("valeur",VUE_KPI_FTTH!$A$7,"codeIndicateur","v","unite","80e centile","maille","Maille OI (offres commercialisées sur le marché de détail - Autofourniture)","type_valeur","Valeurs Brutes","OC","(vide)"),VUE_KPI_FTTH!A1)</f>
        <v>62.6</v>
      </c>
      <c r="I14" s="67" t="str">
        <f>IFERROR(GETPIVOTDATA("valeur",VUE_KPI_FTTH!$A$7,"codeIndicateur","v","unite","80e centile","maille","Maille d'appréciation","type_valeur","Valeurs Nettes","OC","(vide)"),VUE_KPI_FTTH!A1)</f>
        <v>N/A</v>
      </c>
      <c r="J14" s="68" t="str">
        <f>IFERROR(GETPIVOTDATA("valeur",VUE_KPI_FTTH!$A$7,"codeIndicateur","v","unite","80e centile","maille","Maille d'appréciation","type_valeur","Valeurs Brutes","OC","(vide)"),VUE_KPI_FTTH!A1)</f>
        <v>N/A</v>
      </c>
      <c r="K14" s="76" t="e">
        <f t="shared" ca="1" si="0"/>
        <v>#NAME?</v>
      </c>
    </row>
    <row r="15" spans="1:11" ht="30" customHeight="1" x14ac:dyDescent="0.25">
      <c r="A15" s="127" t="s">
        <v>11</v>
      </c>
      <c r="B15" s="5" t="s">
        <v>1</v>
      </c>
      <c r="C15" s="69">
        <f>IFERROR(GETPIVOTDATA("valeur",VUE_KPI_FTTH!$A$7,"codeIndicateur","vi","unite","Numérateur","maille","Maille OI","type_valeur","Valeurs Nettes","OC","(vide)"),VUE_KPI_FTTH!A2)</f>
        <v>0</v>
      </c>
      <c r="D15" s="70">
        <f>IFERROR(GETPIVOTDATA("valeur",VUE_KPI_FTTH!$A$7,"codeIndicateur","vi","unite","Numérateur","maille","Maille OI","type_valeur","Valeurs Brutes","OC","(vide)"),VUE_KPI_FTTH!A2)</f>
        <v>0</v>
      </c>
      <c r="E15" s="69" t="str">
        <f>IFERROR(GETPIVOTDATA("valeur",VUE_KPI_FTTH!$A$7,"codeIndicateur","vi","unite","Numérateur","maille","Maille OI (offres commercialisées sur le marché de gros activé)","type_valeur","Valeurs Nettes","OC","(vide)"),VUE_KPI_FTTH!A1)</f>
        <v>N/A</v>
      </c>
      <c r="F15" s="70" t="str">
        <f>IFERROR(GETPIVOTDATA("valeur",VUE_KPI_FTTH!$A$7,"codeIndicateur","vi","unite","Numérateur","maille","Maille OI (offres commercialisées sur le marché de gros activé)","type_valeur","Valeurs Brutes","OC","(vide)"),VUE_KPI_FTTH!A1)</f>
        <v>N/A</v>
      </c>
      <c r="G15" s="69" t="str">
        <f>IFERROR(GETPIVOTDATA("valeur",VUE_KPI_FTTH!$A$7,"codeIndicateur","vi","unite","Numérateur","maille","Maille OI (offres commercialisées sur le marché de détail - Autofourniture)","type_valeur","Valeurs Nettes","OC","(vide)"),VUE_KPI_FTTH!A1)</f>
        <v>N/A</v>
      </c>
      <c r="H15" s="70" t="str">
        <f>IFERROR(GETPIVOTDATA("valeur",VUE_KPI_FTTH!$A$7,"codeIndicateur","vi","unite","Numérateur","maille","Maille OI (offres commercialisées sur le marché de détail - Autofourniture)","type_valeur","Valeurs Brutes","OC","(vide)"),VUE_KPI_FTTH!A1)</f>
        <v>N/A</v>
      </c>
      <c r="I15" s="69" t="str">
        <f>IFERROR(GETPIVOTDATA("valeur",VUE_KPI_FTTH!$A$7,"codeIndicateur","vi","unite","Numérateur","maille","Maille d'appréciation","type_valeur","Valeurs Nettes","OC","(vide)"),VUE_KPI_FTTH!A1)</f>
        <v>N/A</v>
      </c>
      <c r="J15" s="70" t="str">
        <f>IFERROR(GETPIVOTDATA("valeur",VUE_KPI_FTTH!$A$7,"codeIndicateur","vi","unite","Numérateur","maille","Maille d'appréciation","type_valeur","Valeurs Brutes","OC","(vide)"),VUE_KPI_FTTH!A1)</f>
        <v>N/A</v>
      </c>
      <c r="K15" s="76" t="e">
        <f t="shared" ca="1" si="0"/>
        <v>#NAME?</v>
      </c>
    </row>
    <row r="16" spans="1:11" ht="30" customHeight="1" x14ac:dyDescent="0.25">
      <c r="A16" s="128"/>
      <c r="B16" s="5" t="s">
        <v>2</v>
      </c>
      <c r="C16" s="71">
        <f>IFERROR(GETPIVOTDATA("valeur",VUE_KPI_FTTH!$A$7,"codeIndicateur","vi","unite","Dénominateur","maille","Maille OI","type_valeur","Valeurs Nettes","OC","(vide)"),VUE_KPI_FTTH!A2)</f>
        <v>0</v>
      </c>
      <c r="D16" s="72">
        <f>IFERROR(GETPIVOTDATA("valeur",VUE_KPI_FTTH!$A$7,"codeIndicateur","vi","unite","Dénominateur","maille","Maille OI","type_valeur","Valeurs Brutes","OC","(vide)"),VUE_KPI_FTTH!A2)</f>
        <v>0</v>
      </c>
      <c r="E16" s="71" t="str">
        <f>IFERROR(GETPIVOTDATA("valeur",VUE_KPI_FTTH!$A$7,"codeIndicateur","vi","unite","Dénominateur","maille","Maille OI (offres commercialisées sur le marché de gros activé)","type_valeur","Valeurs Nettes","OC","(vide)"),VUE_KPI_FTTH!A1)</f>
        <v>N/A</v>
      </c>
      <c r="F16" s="72" t="str">
        <f>IFERROR(GETPIVOTDATA("valeur",VUE_KPI_FTTH!$A$7,"codeIndicateur","vi","unite","Dénominateur","maille","Maille OI (offres commercialisées sur le marché de gros activé)","type_valeur","Valeurs Brutes","OC","(vide)"),VUE_KPI_FTTH!A1)</f>
        <v>N/A</v>
      </c>
      <c r="G16" s="71" t="str">
        <f>IFERROR(GETPIVOTDATA("valeur",VUE_KPI_FTTH!$A$7,"codeIndicateur","vi","unite","Dénominateur","maille","Maille OI (offres commercialisées sur le marché de détail - Autofourniture)","type_valeur","Valeurs Nettes","OC","(vide)"),VUE_KPI_FTTH!A1)</f>
        <v>N/A</v>
      </c>
      <c r="H16" s="72" t="str">
        <f>IFERROR(GETPIVOTDATA("valeur",VUE_KPI_FTTH!$A$7,"codeIndicateur","vi","unite","Dénominateur","maille","Maille OI (offres commercialisées sur le marché de détail - Autofourniture)","type_valeur","Valeurs Brutes","OC","(vide)"),VUE_KPI_FTTH!A1)</f>
        <v>N/A</v>
      </c>
      <c r="I16" s="71" t="str">
        <f>IFERROR(GETPIVOTDATA("valeur",VUE_KPI_FTTH!$A$7,"codeIndicateur","vi","unite","Dénominateur","maille","Maille d'appréciation","type_valeur","Valeurs Nettes","OC","(vide)"),VUE_KPI_FTTH!A1)</f>
        <v>N/A</v>
      </c>
      <c r="J16" s="72" t="str">
        <f>IFERROR(GETPIVOTDATA("valeur",VUE_KPI_FTTH!$A$7,"codeIndicateur","vi","unite","Dénominateur","maille","Maille d'appréciation","type_valeur","Valeurs Brutes","OC","(vide)"),VUE_KPI_FTTH!A1)</f>
        <v>N/A</v>
      </c>
      <c r="K16" s="76" t="e">
        <f t="shared" ca="1" si="0"/>
        <v>#NAME?</v>
      </c>
    </row>
    <row r="17" spans="1:11" ht="30" customHeight="1" x14ac:dyDescent="0.25">
      <c r="A17" s="128"/>
      <c r="B17" s="5" t="s">
        <v>3</v>
      </c>
      <c r="C17" s="73" t="e">
        <f t="shared" ref="C17:J17" si="4">IF(OR(C16="",C16="N/A",C16="NC",C16="ND"),"",C15/C16)</f>
        <v>#DIV/0!</v>
      </c>
      <c r="D17" s="73" t="e">
        <f t="shared" si="4"/>
        <v>#DIV/0!</v>
      </c>
      <c r="E17" s="73" t="str">
        <f t="shared" si="4"/>
        <v/>
      </c>
      <c r="F17" s="73" t="str">
        <f t="shared" si="4"/>
        <v/>
      </c>
      <c r="G17" s="73" t="str">
        <f t="shared" si="4"/>
        <v/>
      </c>
      <c r="H17" s="73" t="str">
        <f t="shared" si="4"/>
        <v/>
      </c>
      <c r="I17" s="73" t="str">
        <f t="shared" si="4"/>
        <v/>
      </c>
      <c r="J17" s="73" t="str">
        <f t="shared" si="4"/>
        <v/>
      </c>
      <c r="K17" s="76" t="e">
        <f t="shared" ca="1" si="0"/>
        <v>#NAME?</v>
      </c>
    </row>
    <row r="18" spans="1:11" ht="30" customHeight="1" x14ac:dyDescent="0.25">
      <c r="A18" s="80" t="s">
        <v>12</v>
      </c>
      <c r="B18" s="5" t="s">
        <v>72</v>
      </c>
      <c r="C18" s="67">
        <f>IFERROR(GETPIVOTDATA("valeur",VUE_KPI_FTTH!$A$7,"codeIndicateur","vii","unite","95e centile","maille","Maille OI","type_valeur","Valeurs Nettes","OC","(vide)"),VUE_KPI_FTTH!A1)</f>
        <v>32</v>
      </c>
      <c r="D18" s="68">
        <f>IFERROR(GETPIVOTDATA("valeur",VUE_KPI_FTTH!$A$7,"codeIndicateur","vii","unite","95e centile","maille","Maille OI","type_valeur","Valeurs Brutes","OC","(vide)"),VUE_KPI_FTTH!A1)</f>
        <v>32</v>
      </c>
      <c r="E18" s="67" t="str">
        <f>IFERROR(GETPIVOTDATA("valeur",VUE_KPI_FTTH!$A$7,"codeIndicateur","vii","unite","95e centile","maille","Maille OI (offres commercialisées sur le marché de gros activé)","type_valeur","Valeurs Nettes","OC","(vide)"),VUE_KPI_FTTH!A1)</f>
        <v>N/A</v>
      </c>
      <c r="F18" s="68" t="str">
        <f>IFERROR(GETPIVOTDATA("valeur",VUE_KPI_FTTH!$A$7,"codeIndicateur","vii","unite","95e centile","maille","Maille OI (offres commercialisées sur le marché de gros activé)","type_valeur","Valeurs Brutes","OC","(vide)"),VUE_KPI_FTTH!A1)</f>
        <v>N/A</v>
      </c>
      <c r="G18" s="67">
        <f>IFERROR(GETPIVOTDATA("valeur",VUE_KPI_FTTH!$A$7,"codeIndicateur","vii","unite","95e centile","maille","Maille OI (offres commercialisées sur le marché de détail - Autofourniture)","type_valeur","Valeurs Nettes","OC","(vide)"),VUE_KPI_FTTH!A1)</f>
        <v>17</v>
      </c>
      <c r="H18" s="68">
        <f>IFERROR(GETPIVOTDATA("valeur",VUE_KPI_FTTH!$A$7,"codeIndicateur","vii","unite","95e centile","maille","Maille OI (offres commercialisées sur le marché de détail - Autofourniture)","type_valeur","Valeurs Brutes","OC","(vide)"),VUE_KPI_FTTH!A1)</f>
        <v>17</v>
      </c>
      <c r="I18" s="67" t="str">
        <f>IFERROR(GETPIVOTDATA("valeur",VUE_KPI_FTTH!$A$7,"codeIndicateur","vii","unite","95e centile","maille","Maille d'appréciation","type_valeur","Valeurs Nettes","OC","(vide)"),VUE_KPI_FTTH!A1)</f>
        <v>N/A</v>
      </c>
      <c r="J18" s="68" t="str">
        <f>IFERROR(GETPIVOTDATA("valeur",VUE_KPI_FTTH!$A$7,"codeIndicateur","vii","unite","95e centile","maille","Maille d'appréciation","type_valeur","Valeurs Brutes","OC","(vide)"),VUE_KPI_FTTH!A1)</f>
        <v>N/A</v>
      </c>
      <c r="K18" s="76" t="e">
        <f t="shared" ca="1" si="0"/>
        <v>#NAME?</v>
      </c>
    </row>
    <row r="19" spans="1:11" ht="30" customHeight="1" x14ac:dyDescent="0.25">
      <c r="A19" s="80" t="s">
        <v>13</v>
      </c>
      <c r="B19" s="5" t="s">
        <v>72</v>
      </c>
      <c r="C19" s="67" t="str">
        <f>IFERROR(GETPIVOTDATA("valeur",VUE_KPI_FTTH!$A$7,"codeIndicateur","viii","unite","95e centile","maille","Maille OI","type_valeur","Valeurs Nettes","OC","(vide)"),VUE_KPI_FTTH!A1)</f>
        <v>N/A</v>
      </c>
      <c r="D19" s="68" t="str">
        <f>IFERROR(GETPIVOTDATA("valeur",VUE_KPI_FTTH!$A$7,"codeIndicateur","viii","unite","95e centile","maille","Maille OI","type_valeur","Valeurs Brutes","OC","(vide)"),VUE_KPI_FTTH!A1)</f>
        <v>N/A</v>
      </c>
      <c r="E19" s="67" t="str">
        <f>IFERROR(GETPIVOTDATA("valeur",VUE_KPI_FTTH!$A$7,"codeIndicateur","viii","unite","95e centile","maille","Maille OI (offres commercialisées sur le marché de gros activé)","type_valeur","Valeurs Nettes","OC","(vide)"),VUE_KPI_FTTH!A1)</f>
        <v>N/A</v>
      </c>
      <c r="F19" s="68" t="str">
        <f>IFERROR(GETPIVOTDATA("valeur",VUE_KPI_FTTH!$A$7,"codeIndicateur","viii","unite","95e centile","maille","Maille OI (offres commercialisées sur le marché de gros activé)","type_valeur","Valeurs Brutes","OC","(vide)"),VUE_KPI_FTTH!A1)</f>
        <v>N/A</v>
      </c>
      <c r="G19" s="67" t="str">
        <f>IFERROR(GETPIVOTDATA("valeur",VUE_KPI_FTTH!$A$7,"codeIndicateur","viii","unite","95e centile","maille","Maille OI (offres commercialisées sur le marché de détail - Autofourniture)","type_valeur","Valeurs Nettes","OC","(vide)"),VUE_KPI_FTTH!A1)</f>
        <v>N/A</v>
      </c>
      <c r="H19" s="68" t="str">
        <f>IFERROR(GETPIVOTDATA("valeur",VUE_KPI_FTTH!$A$7,"codeIndicateur","viii","unite","95e centile","maille","Maille OI (offres commercialisées sur le marché de détail - Autofourniture)","type_valeur","Valeurs Brutes","OC","(vide)"),VUE_KPI_FTTH!A1)</f>
        <v>N/A</v>
      </c>
      <c r="I19" s="67" t="str">
        <f>IFERROR(GETPIVOTDATA("valeur",VUE_KPI_FTTH!$A$7,"codeIndicateur","viii","unite","95e centile","maille","Maille d'appréciation","type_valeur","Valeurs Nettes","OC","(vide)"),VUE_KPI_FTTH!A1)</f>
        <v>N/A</v>
      </c>
      <c r="J19" s="68" t="str">
        <f>IFERROR(GETPIVOTDATA("valeur",VUE_KPI_FTTH!$A$7,"codeIndicateur","viii","unite","95e centile","maille","Maille d'appréciation","type_valeur","Valeurs Brutes","OC","(vide)"),VUE_KPI_FTTH!A1)</f>
        <v>N/A</v>
      </c>
      <c r="K19" s="76" t="e">
        <f t="shared" ca="1" si="0"/>
        <v>#NAME?</v>
      </c>
    </row>
    <row r="20" spans="1:11" ht="30" customHeight="1" x14ac:dyDescent="0.25">
      <c r="A20" s="80" t="s">
        <v>14</v>
      </c>
      <c r="B20" s="5" t="s">
        <v>72</v>
      </c>
      <c r="C20" s="67" t="str">
        <f>IFERROR(GETPIVOTDATA("valeur",VUE_KPI_FTTH!$A$7,"codeIndicateur","ix","unite","95e centile","maille","Maille OI","type_valeur","Valeurs Nettes","OC","(vide)"),VUE_KPI_FTTH!A1)</f>
        <v>N/A</v>
      </c>
      <c r="D20" s="68" t="str">
        <f>IFERROR(GETPIVOTDATA("valeur",VUE_KPI_FTTH!$A$7,"codeIndicateur","ix","unite","95e centile","maille","Maille OI","type_valeur","Valeurs Brutes","OC","(vide)"),VUE_KPI_FTTH!A1)</f>
        <v>N/A</v>
      </c>
      <c r="E20" s="67" t="str">
        <f>IFERROR(GETPIVOTDATA("valeur",VUE_KPI_FTTH!$A$7,"codeIndicateur","ix","unite","95e centile","maille","Maille OI (offres commercialisées sur le marché de gros activé)","type_valeur","Valeurs Nettes","OC","(vide)"),VUE_KPI_FTTH!A1)</f>
        <v>N/A</v>
      </c>
      <c r="F20" s="68" t="str">
        <f>IFERROR(GETPIVOTDATA("valeur",VUE_KPI_FTTH!$A$7,"codeIndicateur","ix","unite","95e centile","maille","Maille OI (offres commercialisées sur le marché de gros activé)","type_valeur","Valeurs Brutes","OC","(vide)"),VUE_KPI_FTTH!A1)</f>
        <v>N/A</v>
      </c>
      <c r="G20" s="67" t="str">
        <f>IFERROR(GETPIVOTDATA("valeur",VUE_KPI_FTTH!$A$7,"codeIndicateur","ix","unite","95e centile","maille","Maille OI (offres commercialisées sur le marché de détail - Autofourniture)","type_valeur","Valeurs Nettes","OC","(vide)"),VUE_KPI_FTTH!A1)</f>
        <v>N/A</v>
      </c>
      <c r="H20" s="68" t="str">
        <f>IFERROR(GETPIVOTDATA("valeur",VUE_KPI_FTTH!$A$7,"codeIndicateur","ix","unite","95e centile","maille","Maille OI (offres commercialisées sur le marché de détail - Autofourniture)","type_valeur","Valeurs Brutes","OC","(vide)"),VUE_KPI_FTTH!A1)</f>
        <v>N/A</v>
      </c>
      <c r="I20" s="67" t="str">
        <f>IFERROR(GETPIVOTDATA("valeur",VUE_KPI_FTTH!$A$7,"codeIndicateur","ix","unite","95e centile","maille","Maille d'appréciation","type_valeur","Valeurs Nettes","OC","(vide)"),VUE_KPI_FTTH!A1)</f>
        <v>N/A</v>
      </c>
      <c r="J20" s="68" t="str">
        <f>IFERROR(GETPIVOTDATA("valeur",VUE_KPI_FTTH!$A$7,"codeIndicateur","ix","unite","95e centile","maille","Maille d'appréciation","type_valeur","Valeurs Brutes","OC","(vide)"),VUE_KPI_FTTH!A1)</f>
        <v>N/A</v>
      </c>
      <c r="K20" s="76" t="e">
        <f t="shared" ca="1" si="0"/>
        <v>#NAME?</v>
      </c>
    </row>
    <row r="21" spans="1:11" ht="30" customHeight="1" x14ac:dyDescent="0.25">
      <c r="A21" s="127" t="s">
        <v>15</v>
      </c>
      <c r="B21" s="5" t="s">
        <v>1</v>
      </c>
      <c r="C21" s="69">
        <f>IFERROR(GETPIVOTDATA("valeur",VUE_KPI_FTTH!$A$7,"codeIndicateur","x","unite","Numérateur","maille","Maille OI","type_valeur","Valeurs Nettes","OC","(vide)"),VUE_KPI_FTTH!A2)</f>
        <v>58</v>
      </c>
      <c r="D21" s="70">
        <f>IFERROR(GETPIVOTDATA("valeur",VUE_KPI_FTTH!$A$7,"codeIndicateur","x","unite","Numérateur","maille","Maille OI","type_valeur","Valeurs Brutes","OC","(vide)"),VUE_KPI_FTTH!A2)</f>
        <v>58</v>
      </c>
      <c r="E21" s="69" t="str">
        <f>IFERROR(GETPIVOTDATA("valeur",VUE_KPI_FTTH!$A$7,"codeIndicateur","x","unite","Numérateur","maille","Maille OI (offres commercialisées sur le marché de gros activé)","type_valeur","Valeurs Nettes","OC","(vide)"),VUE_KPI_FTTH!A1)</f>
        <v>N/A</v>
      </c>
      <c r="F21" s="70" t="str">
        <f>IFERROR(GETPIVOTDATA("valeur",VUE_KPI_FTTH!$A$7,"codeIndicateur","x","unite","Numérateur","maille","Maille OI (offres commercialisées sur le marché de gros activé)","type_valeur","Valeurs Brutes","OC","(vide)"),VUE_KPI_FTTH!A1)</f>
        <v>N/A</v>
      </c>
      <c r="G21" s="69">
        <f>IFERROR(GETPIVOTDATA("valeur",VUE_KPI_FTTH!$A$7,"codeIndicateur","x","unite","Numérateur","maille","Maille OI (offres commercialisées sur le marché de détail - Autofourniture)","type_valeur","Valeurs Nettes","OC","(vide)"),VUE_KPI_FTTH!A1)</f>
        <v>0</v>
      </c>
      <c r="H21" s="70">
        <f>IFERROR(GETPIVOTDATA("valeur",VUE_KPI_FTTH!$A$7,"codeIndicateur","x","unite","Numérateur","maille","Maille OI (offres commercialisées sur le marché de détail - Autofourniture)","type_valeur","Valeurs Brutes","OC","(vide)"),VUE_KPI_FTTH!A1)</f>
        <v>0</v>
      </c>
      <c r="I21" s="69" t="str">
        <f>IFERROR(GETPIVOTDATA("valeur",VUE_KPI_FTTH!$A$7,"codeIndicateur","x","unite","Numérateur","maille","Maille d'appréciation","type_valeur","Valeurs Nettes","OC","(vide)"),VUE_KPI_FTTH!A1)</f>
        <v>N/A</v>
      </c>
      <c r="J21" s="70" t="str">
        <f>IFERROR(GETPIVOTDATA("valeur",VUE_KPI_FTTH!$A$7,"codeIndicateur","x","unite","Numérateur","maille","Maille d'appréciation","type_valeur","Valeurs Brutes","OC","(vide)"),VUE_KPI_FTTH!A1)</f>
        <v>N/A</v>
      </c>
      <c r="K21" s="76" t="e">
        <f t="shared" ca="1" si="0"/>
        <v>#NAME?</v>
      </c>
    </row>
    <row r="22" spans="1:11" ht="30" customHeight="1" x14ac:dyDescent="0.25">
      <c r="A22" s="128"/>
      <c r="B22" s="5" t="s">
        <v>2</v>
      </c>
      <c r="C22" s="71">
        <f>IFERROR(GETPIVOTDATA("valeur",VUE_KPI_FTTH!$A$7,"codeIndicateur","x","unite","Dénominateur","maille","Maille OI","type_valeur","Valeurs Nettes","OC","(vide)"),VUE_KPI_FTTH!A2)</f>
        <v>67</v>
      </c>
      <c r="D22" s="72">
        <f>IFERROR(GETPIVOTDATA("valeur",VUE_KPI_FTTH!$A$7,"codeIndicateur","x","unite","Dénominateur","maille","Maille OI","type_valeur","Valeurs Brutes","OC","(vide)"),VUE_KPI_FTTH!A2)</f>
        <v>76</v>
      </c>
      <c r="E22" s="71" t="str">
        <f>IFERROR(GETPIVOTDATA("valeur",VUE_KPI_FTTH!$A$7,"codeIndicateur","x","unite","Dénominateur","maille","Maille OI (offres commercialisées sur le marché de gros activé)","type_valeur","Valeurs Nettes","OC","(vide)"),VUE_KPI_FTTH!A1)</f>
        <v>N/A</v>
      </c>
      <c r="F22" s="72" t="str">
        <f>IFERROR(GETPIVOTDATA("valeur",VUE_KPI_FTTH!$A$7,"codeIndicateur","x","unite","Dénominateur","maille","Maille OI (offres commercialisées sur le marché de gros activé)","type_valeur","Valeurs Brutes","OC","(vide)"),VUE_KPI_FTTH!A1)</f>
        <v>N/A</v>
      </c>
      <c r="G22" s="71">
        <f>IFERROR(GETPIVOTDATA("valeur",VUE_KPI_FTTH!$A$7,"codeIndicateur","x","unite","Dénominateur","maille","Maille OI (offres commercialisées sur le marché de détail - Autofourniture)","type_valeur","Valeurs Nettes","OC","(vide)"),VUE_KPI_FTTH!A1)</f>
        <v>5</v>
      </c>
      <c r="H22" s="72">
        <f>IFERROR(GETPIVOTDATA("valeur",VUE_KPI_FTTH!$A$7,"codeIndicateur","x","unite","Dénominateur","maille","Maille OI (offres commercialisées sur le marché de détail - Autofourniture)","type_valeur","Valeurs Brutes","OC","(vide)"),VUE_KPI_FTTH!A1)</f>
        <v>5</v>
      </c>
      <c r="I22" s="71" t="str">
        <f>IFERROR(GETPIVOTDATA("valeur",VUE_KPI_FTTH!$A$7,"codeIndicateur","x","unite","Dénominateur","maille","Maille d'appréciation","type_valeur","Valeurs Nettes","OC","(vide)"),VUE_KPI_FTTH!A1)</f>
        <v>N/A</v>
      </c>
      <c r="J22" s="72" t="str">
        <f>IFERROR(GETPIVOTDATA("valeur",VUE_KPI_FTTH!$A$7,"codeIndicateur","x","unite","Dénominateur","maille","Maille d'appréciation","type_valeur","Valeurs Brutes","OC","(vide)"),VUE_KPI_FTTH!A1)</f>
        <v>N/A</v>
      </c>
      <c r="K22" s="76" t="e">
        <f t="shared" ca="1" si="0"/>
        <v>#NAME?</v>
      </c>
    </row>
    <row r="23" spans="1:11" ht="30" customHeight="1" x14ac:dyDescent="0.25">
      <c r="A23" s="128"/>
      <c r="B23" s="5" t="s">
        <v>3</v>
      </c>
      <c r="C23" s="73">
        <f t="shared" ref="C23:J23" si="5">IF(OR(C22="",C22="N/A",C22="NC",C22="ND"),"",C21/C22)</f>
        <v>0.86567164179104472</v>
      </c>
      <c r="D23" s="73">
        <f t="shared" si="5"/>
        <v>0.76315789473684215</v>
      </c>
      <c r="E23" s="73" t="str">
        <f t="shared" si="5"/>
        <v/>
      </c>
      <c r="F23" s="73" t="str">
        <f t="shared" si="5"/>
        <v/>
      </c>
      <c r="G23" s="73">
        <f t="shared" si="5"/>
        <v>0</v>
      </c>
      <c r="H23" s="73">
        <f t="shared" si="5"/>
        <v>0</v>
      </c>
      <c r="I23" s="73" t="str">
        <f t="shared" si="5"/>
        <v/>
      </c>
      <c r="J23" s="73" t="str">
        <f t="shared" si="5"/>
        <v/>
      </c>
      <c r="K23" s="76" t="e">
        <f t="shared" ca="1" si="0"/>
        <v>#NAME?</v>
      </c>
    </row>
    <row r="24" spans="1:11" ht="19.899999999999999" customHeight="1" x14ac:dyDescent="0.25">
      <c r="A24" s="129" t="s">
        <v>5</v>
      </c>
      <c r="B24" s="130"/>
      <c r="C24" s="130"/>
      <c r="D24" s="130"/>
      <c r="E24" s="130"/>
      <c r="F24" s="130"/>
      <c r="G24" s="130"/>
      <c r="H24" s="130"/>
      <c r="I24" s="130"/>
      <c r="J24" s="131"/>
      <c r="K24" s="76" t="e">
        <f t="shared" ca="1" si="0"/>
        <v>#NAME?</v>
      </c>
    </row>
    <row r="25" spans="1:11" ht="30" customHeight="1" x14ac:dyDescent="0.25">
      <c r="A25" s="127" t="s">
        <v>16</v>
      </c>
      <c r="B25" s="5" t="s">
        <v>1</v>
      </c>
      <c r="C25" s="69" t="str">
        <f>IFERROR(GETPIVOTDATA("valeur",VUE_KPI_FTTH!$A$7,"codeIndicateur","xi","unite","Numérateur","maille","Maille OI","type_valeur","Valeurs Nettes","OC","(vide)"),VUE_KPI_FTTH!A1)</f>
        <v>N/A</v>
      </c>
      <c r="D25" s="70" t="str">
        <f>IFERROR(GETPIVOTDATA("valeur",VUE_KPI_FTTH!$A$7,"codeIndicateur","xi","unite","Numérateur","maille","Maille OI","type_valeur","Valeurs Brutes","OC","(vide)"),VUE_KPI_FTTH!A1)</f>
        <v>N/A</v>
      </c>
      <c r="E25" s="69" t="str">
        <f>IFERROR(GETPIVOTDATA("valeur",VUE_KPI_FTTH!$A$7,"codeIndicateur","xi","unite","Numérateur","maille","Maille OI (offres commercialisées sur le marché de gros activé)","type_valeur","Valeurs Nettes","OC","(vide)"),VUE_KPI_FTTH!A1)</f>
        <v>N/A</v>
      </c>
      <c r="F25" s="70" t="str">
        <f>IFERROR(GETPIVOTDATA("valeur",VUE_KPI_FTTH!$A$7,"codeIndicateur","xi","unite","Numérateur","maille","Maille OI (offres commercialisées sur le marché de gros activé)","type_valeur","Valeurs Brutes","OC","(vide)"),VUE_KPI_FTTH!A1)</f>
        <v>N/A</v>
      </c>
      <c r="G25" s="69" t="str">
        <f>IFERROR(GETPIVOTDATA("valeur",VUE_KPI_FTTH!$A$7,"codeIndicateur","xi","unite","Numérateur","maille","Maille OI (offres commercialisées sur le marché de détail - Autofourniture)","type_valeur","Valeurs Nettes","OC","(vide)"),VUE_KPI_FTTH!A1)</f>
        <v>N/A</v>
      </c>
      <c r="H25" s="70" t="str">
        <f>IFERROR(GETPIVOTDATA("valeur",VUE_KPI_FTTH!$A$7,"codeIndicateur","xi","unite","Numérateur","maille","Maille OI (offres commercialisées sur le marché de détail - Autofourniture)","type_valeur","Valeurs Brutes","OC","(vide)"),VUE_KPI_FTTH!A1)</f>
        <v>N/A</v>
      </c>
      <c r="I25" s="69" t="str">
        <f>IFERROR(GETPIVOTDATA("valeur",VUE_KPI_FTTH!$A$7,"codeIndicateur","xi","unite","Numérateur","maille","Maille d'appréciation","type_valeur","Valeurs Nettes","OC","(vide)"),VUE_KPI_FTTH!A1)</f>
        <v>N/A</v>
      </c>
      <c r="J25" s="70" t="str">
        <f>IFERROR(GETPIVOTDATA("valeur",VUE_KPI_FTTH!$A$7,"codeIndicateur","xi","unite","Numérateur","maille","Maille d'appréciation","type_valeur","Valeurs Brutes","OC","(vide)"),VUE_KPI_FTTH!A1)</f>
        <v>N/A</v>
      </c>
      <c r="K25" s="76" t="e">
        <f t="shared" ca="1" si="0"/>
        <v>#NAME?</v>
      </c>
    </row>
    <row r="26" spans="1:11" ht="30" customHeight="1" x14ac:dyDescent="0.25">
      <c r="A26" s="128"/>
      <c r="B26" s="5" t="s">
        <v>2</v>
      </c>
      <c r="C26" s="71" t="str">
        <f>IFERROR(GETPIVOTDATA("valeur",VUE_KPI_FTTH!$A$7,"codeIndicateur","xi","unite","Dénominateur","maille","Maille OI","type_valeur","Valeurs Nettes","OC","(vide)"),VUE_KPI_FTTH!A1)</f>
        <v>N/A</v>
      </c>
      <c r="D26" s="72" t="str">
        <f>IFERROR(GETPIVOTDATA("valeur",VUE_KPI_FTTH!$A$7,"codeIndicateur","xi","unite","Dénominateur","maille","Maille OI","type_valeur","Valeurs Brutes","OC","(vide)"),VUE_KPI_FTTH!A1)</f>
        <v>N/A</v>
      </c>
      <c r="E26" s="71" t="str">
        <f>IFERROR(GETPIVOTDATA("valeur",VUE_KPI_FTTH!$A$7,"codeIndicateur","xi","unite","Dénominateur","maille","Maille OI (offres commercialisées sur le marché de gros activé)","type_valeur","Valeurs Nettes","OC","(vide)"),VUE_KPI_FTTH!A1)</f>
        <v>N/A</v>
      </c>
      <c r="F26" s="72" t="str">
        <f>IFERROR(GETPIVOTDATA("valeur",VUE_KPI_FTTH!$A$7,"codeIndicateur","xi","unite","Dénominateur","maille","Maille OI (offres commercialisées sur le marché de gros activé)","type_valeur","Valeurs Brutes","OC","(vide)"),VUE_KPI_FTTH!A1)</f>
        <v>N/A</v>
      </c>
      <c r="G26" s="71" t="str">
        <f>IFERROR(GETPIVOTDATA("valeur",VUE_KPI_FTTH!$A$7,"codeIndicateur","xi","unite","Dénominateur","maille","Maille OI (offres commercialisées sur le marché de détail - Autofourniture)","type_valeur","Valeurs Nettes","OC","(vide)"),VUE_KPI_FTTH!A1)</f>
        <v>N/A</v>
      </c>
      <c r="H26" s="72" t="str">
        <f>IFERROR(GETPIVOTDATA("valeur",VUE_KPI_FTTH!$A$7,"codeIndicateur","xi","unite","Dénominateur","maille","Maille OI (offres commercialisées sur le marché de détail - Autofourniture)","type_valeur","Valeurs Brutes","OC","(vide)"),VUE_KPI_FTTH!A1)</f>
        <v>N/A</v>
      </c>
      <c r="I26" s="71" t="str">
        <f>IFERROR(GETPIVOTDATA("valeur",VUE_KPI_FTTH!$A$7,"codeIndicateur","xi","unite","Dénominateur","maille","Maille d'appréciation","type_valeur","Valeurs Nettes","OC","(vide)"),VUE_KPI_FTTH!A1)</f>
        <v>N/A</v>
      </c>
      <c r="J26" s="72" t="str">
        <f>IFERROR(GETPIVOTDATA("valeur",VUE_KPI_FTTH!$A$7,"codeIndicateur","xi","unite","Dénominateur","maille","Maille d'appréciation","type_valeur","Valeurs Brutes","OC","(vide)"),VUE_KPI_FTTH!A1)</f>
        <v>N/A</v>
      </c>
      <c r="K26" s="76" t="e">
        <f t="shared" ca="1" si="0"/>
        <v>#NAME?</v>
      </c>
    </row>
    <row r="27" spans="1:11" ht="30" customHeight="1" x14ac:dyDescent="0.25">
      <c r="A27" s="128"/>
      <c r="B27" s="5" t="s">
        <v>3</v>
      </c>
      <c r="C27" s="73" t="str">
        <f t="shared" ref="C27:J27" si="6">IF(OR(C26="",C26="N/A",C26="NC",C26="ND"),"",C25/C26)</f>
        <v/>
      </c>
      <c r="D27" s="73" t="str">
        <f t="shared" si="6"/>
        <v/>
      </c>
      <c r="E27" s="73" t="str">
        <f t="shared" si="6"/>
        <v/>
      </c>
      <c r="F27" s="73" t="str">
        <f t="shared" si="6"/>
        <v/>
      </c>
      <c r="G27" s="73" t="str">
        <f t="shared" si="6"/>
        <v/>
      </c>
      <c r="H27" s="73" t="str">
        <f t="shared" si="6"/>
        <v/>
      </c>
      <c r="I27" s="73" t="str">
        <f t="shared" si="6"/>
        <v/>
      </c>
      <c r="J27" s="73" t="str">
        <f t="shared" si="6"/>
        <v/>
      </c>
      <c r="K27" s="76" t="e">
        <f t="shared" ca="1" si="0"/>
        <v>#NAME?</v>
      </c>
    </row>
    <row r="28" spans="1:11" ht="30" customHeight="1" x14ac:dyDescent="0.25">
      <c r="A28" s="80" t="s">
        <v>17</v>
      </c>
      <c r="B28" s="5" t="s">
        <v>72</v>
      </c>
      <c r="C28" s="67" t="str">
        <f>IFERROR(GETPIVOTDATA("valeur",VUE_KPI_FTTH!$A$7,"codeIndicateur","xii","unite","95e centile","maille","Maille OI","type_valeur","Valeurs Nettes","OC","(vide)"),VUE_KPI_FTTH!A1)</f>
        <v>N/A</v>
      </c>
      <c r="D28" s="68" t="str">
        <f>IFERROR(GETPIVOTDATA("valeur",VUE_KPI_FTTH!$A$7,"codeIndicateur","xii","unite","95e centile","maille","Maille OI","type_valeur","Valeurs Brutes","OC","(vide)"),VUE_KPI_FTTH!A1)</f>
        <v>N/A</v>
      </c>
      <c r="E28" s="67" t="str">
        <f>IFERROR(GETPIVOTDATA("valeur",VUE_KPI_FTTH!$A$7,"codeIndicateur","xii","unite","95e centile","maille","Maille OI (offres commercialisées sur le marché de gros activé)","type_valeur","Valeurs Nettes","OC","(vide)"),VUE_KPI_FTTH!A1)</f>
        <v>N/A</v>
      </c>
      <c r="F28" s="68" t="str">
        <f>IFERROR(GETPIVOTDATA("valeur",VUE_KPI_FTTH!$A$7,"codeIndicateur","xii","unite","95e centile","maille","Maille OI (offres commercialisées sur le marché de gros activé)","type_valeur","Valeurs Brutes","OC","(vide)"),VUE_KPI_FTTH!A1)</f>
        <v>N/A</v>
      </c>
      <c r="G28" s="67" t="str">
        <f>IFERROR(GETPIVOTDATA("valeur",VUE_KPI_FTTH!$A$7,"codeIndicateur","xii","unite","95e centile","maille","Maille OI (offres commercialisées sur le marché de détail - Autofourniture)","type_valeur","Valeurs Nettes","OC","(vide)"),VUE_KPI_FTTH!A1)</f>
        <v>N/A</v>
      </c>
      <c r="H28" s="68" t="str">
        <f>IFERROR(GETPIVOTDATA("valeur",VUE_KPI_FTTH!$A$7,"codeIndicateur","xii","unite","95e centile","maille","Maille OI (offres commercialisées sur le marché de détail - Autofourniture)","type_valeur","Valeurs Brutes","OC","(vide)"),VUE_KPI_FTTH!A1)</f>
        <v>N/A</v>
      </c>
      <c r="I28" s="67" t="str">
        <f>IFERROR(GETPIVOTDATA("valeur",VUE_KPI_FTTH!$A$7,"codeIndicateur","xii","unite","95e centile","maille","Maille d'appréciation","type_valeur","Valeurs Nettes","OC","(vide)"),VUE_KPI_FTTH!A1)</f>
        <v>N/A</v>
      </c>
      <c r="J28" s="68" t="str">
        <f>IFERROR(GETPIVOTDATA("valeur",VUE_KPI_FTTH!$A$7,"codeIndicateur","xii","unite","95e centile","maille","Maille d'appréciation","type_valeur","Valeurs Brutes","OC","(vide)"),VUE_KPI_FTTH!A1)</f>
        <v>N/A</v>
      </c>
      <c r="K28" s="76" t="e">
        <f t="shared" ca="1" si="0"/>
        <v>#NAME?</v>
      </c>
    </row>
    <row r="29" spans="1:11" ht="30" customHeight="1" x14ac:dyDescent="0.25">
      <c r="A29" s="127" t="s">
        <v>18</v>
      </c>
      <c r="B29" s="5" t="s">
        <v>1</v>
      </c>
      <c r="C29" s="69">
        <f>IFERROR(GETPIVOTDATA("valeur",VUE_KPI_FTTH!$A$7,"codeIndicateur","xiii","unite","Numérateur","maille","Maille OI","type_valeur","Valeurs Nettes","OC","(vide)"),VUE_KPI_FTTH!A1)</f>
        <v>1</v>
      </c>
      <c r="D29" s="70">
        <f>IFERROR(GETPIVOTDATA("valeur",VUE_KPI_FTTH!$A$7,"codeIndicateur","xiii","unite","Numérateur","maille","Maille OI","type_valeur","Valeurs Brutes","OC","(vide)"),VUE_KPI_FTTH!A1)</f>
        <v>1</v>
      </c>
      <c r="E29" s="69" t="str">
        <f>IFERROR(GETPIVOTDATA("valeur",VUE_KPI_FTTH!$A$7,"codeIndicateur","xiii","unite","Numérateur","maille","Maille OI (offres commercialisées sur le marché de gros activé)","type_valeur","Valeurs Nettes","OC","(vide)"),VUE_KPI_FTTH!A1)</f>
        <v>N/A</v>
      </c>
      <c r="F29" s="70" t="str">
        <f>IFERROR(GETPIVOTDATA("valeur",VUE_KPI_FTTH!$A$7,"codeIndicateur","xiii","unite","Numérateur","maille","Maille OI (offres commercialisées sur le marché de gros activé)","type_valeur","Valeurs Brutes","OC","(vide)"),VUE_KPI_FTTH!A1)</f>
        <v>N/A</v>
      </c>
      <c r="G29" s="69">
        <f>IFERROR(GETPIVOTDATA("valeur",VUE_KPI_FTTH!$A$7,"codeIndicateur","xiii","unite","Numérateur","maille","Maille OI (offres commercialisées sur le marché de détail - Autofourniture)","type_valeur","Valeurs Nettes","OC","(vide)"),VUE_KPI_FTTH!A1)</f>
        <v>0</v>
      </c>
      <c r="H29" s="70">
        <f>IFERROR(GETPIVOTDATA("valeur",VUE_KPI_FTTH!$A$7,"codeIndicateur","xiii","unite","Numérateur","maille","Maille OI (offres commercialisées sur le marché de détail - Autofourniture)","type_valeur","Valeurs Brutes","OC","(vide)"),VUE_KPI_FTTH!A1)</f>
        <v>0</v>
      </c>
      <c r="I29" s="69" t="str">
        <f>IFERROR(GETPIVOTDATA("valeur",VUE_KPI_FTTH!$A$7,"codeIndicateur","xiii","unite","Numérateur","maille","Maille d'appréciation","type_valeur","Valeurs Nettes","OC","(vide)"),VUE_KPI_FTTH!A1)</f>
        <v>N/A</v>
      </c>
      <c r="J29" s="70" t="str">
        <f>IFERROR(GETPIVOTDATA("valeur",VUE_KPI_FTTH!$A$7,"codeIndicateur","xiii","unite","Numérateur","maille","Maille d'appréciation","type_valeur","Valeurs Brutes","OC","(vide)"),VUE_KPI_FTTH!A1)</f>
        <v>N/A</v>
      </c>
      <c r="K29" s="76" t="e">
        <f t="shared" ca="1" si="0"/>
        <v>#NAME?</v>
      </c>
    </row>
    <row r="30" spans="1:11" ht="30" customHeight="1" x14ac:dyDescent="0.25">
      <c r="A30" s="128"/>
      <c r="B30" s="5" t="s">
        <v>2</v>
      </c>
      <c r="C30" s="71">
        <f>IFERROR(GETPIVOTDATA("valeur",VUE_KPI_FTTH!$A$7,"codeIndicateur","xiii","unite","Dénominateur","maille","Maille OI","type_valeur","Valeurs Nettes","OC","(vide)"),VUE_KPI_FTTH!A1)</f>
        <v>3</v>
      </c>
      <c r="D30" s="72">
        <f>IFERROR(GETPIVOTDATA("valeur",VUE_KPI_FTTH!$A$7,"codeIndicateur","xiii","unite","Dénominateur","maille","Maille OI","type_valeur","Valeurs Brutes","OC","(vide)"),VUE_KPI_FTTH!A1)</f>
        <v>3</v>
      </c>
      <c r="E30" s="71" t="str">
        <f>IFERROR(GETPIVOTDATA("valeur",VUE_KPI_FTTH!$A$7,"codeIndicateur","xiii","unite","Dénominateur","maille","Maille OI (offres commercialisées sur le marché de gros activé)","type_valeur","Valeurs Nettes","OC","(vide)"),VUE_KPI_FTTH!A1)</f>
        <v>N/A</v>
      </c>
      <c r="F30" s="72" t="str">
        <f>IFERROR(GETPIVOTDATA("valeur",VUE_KPI_FTTH!$A$7,"codeIndicateur","xiii","unite","Dénominateur","maille","Maille OI (offres commercialisées sur le marché de gros activé)","type_valeur","Valeurs Brutes","OC","(vide)"),VUE_KPI_FTTH!A1)</f>
        <v>N/A</v>
      </c>
      <c r="G30" s="71">
        <f>IFERROR(GETPIVOTDATA("valeur",VUE_KPI_FTTH!$A$7,"codeIndicateur","xiii","unite","Dénominateur","maille","Maille OI (offres commercialisées sur le marché de détail - Autofourniture)","type_valeur","Valeurs Nettes","OC","(vide)"),VUE_KPI_FTTH!A1)</f>
        <v>1</v>
      </c>
      <c r="H30" s="72">
        <f>IFERROR(GETPIVOTDATA("valeur",VUE_KPI_FTTH!$A$7,"codeIndicateur","xiii","unite","Dénominateur","maille","Maille OI (offres commercialisées sur le marché de détail - Autofourniture)","type_valeur","Valeurs Brutes","OC","(vide)"),VUE_KPI_FTTH!A1)</f>
        <v>1</v>
      </c>
      <c r="I30" s="71" t="str">
        <f>IFERROR(GETPIVOTDATA("valeur",VUE_KPI_FTTH!$A$7,"codeIndicateur","xiii","unite","Dénominateur","maille","Maille d'appréciation","type_valeur","Valeurs Nettes","OC","(vide)"),VUE_KPI_FTTH!A1)</f>
        <v>N/A</v>
      </c>
      <c r="J30" s="72" t="str">
        <f>IFERROR(GETPIVOTDATA("valeur",VUE_KPI_FTTH!$A$7,"codeIndicateur","xiii","unite","Dénominateur","maille","Maille d'appréciation","type_valeur","Valeurs Brutes","OC","(vide)"),VUE_KPI_FTTH!A1)</f>
        <v>N/A</v>
      </c>
      <c r="K30" s="76" t="e">
        <f t="shared" ca="1" si="0"/>
        <v>#NAME?</v>
      </c>
    </row>
    <row r="31" spans="1:11" ht="30" customHeight="1" x14ac:dyDescent="0.25">
      <c r="A31" s="128"/>
      <c r="B31" s="5" t="s">
        <v>3</v>
      </c>
      <c r="C31" s="73">
        <f t="shared" ref="C31:J31" si="7">IF(OR(C30="",C30="N/A",C30="NC",C30="ND"),"",C29/C30)</f>
        <v>0.33333333333333331</v>
      </c>
      <c r="D31" s="73">
        <f t="shared" si="7"/>
        <v>0.33333333333333331</v>
      </c>
      <c r="E31" s="73" t="str">
        <f t="shared" si="7"/>
        <v/>
      </c>
      <c r="F31" s="73" t="str">
        <f t="shared" si="7"/>
        <v/>
      </c>
      <c r="G31" s="73">
        <f t="shared" si="7"/>
        <v>0</v>
      </c>
      <c r="H31" s="73">
        <f t="shared" si="7"/>
        <v>0</v>
      </c>
      <c r="I31" s="73" t="str">
        <f t="shared" si="7"/>
        <v/>
      </c>
      <c r="J31" s="73" t="str">
        <f t="shared" si="7"/>
        <v/>
      </c>
      <c r="K31" s="76" t="e">
        <f t="shared" ca="1" si="0"/>
        <v>#NAME?</v>
      </c>
    </row>
    <row r="32" spans="1:11" ht="30" customHeight="1" x14ac:dyDescent="0.25">
      <c r="A32" s="80" t="s">
        <v>19</v>
      </c>
      <c r="B32" s="5" t="s">
        <v>72</v>
      </c>
      <c r="C32" s="67">
        <f>IFERROR(GETPIVOTDATA("valeur",VUE_KPI_FTTH!$A$7,"codeIndicateur","xiv","unite","95e centile","maille","Maille OI","type_valeur","Valeurs Nettes","OC","(vide)"),VUE_KPI_FTTH!A1)</f>
        <v>14.33</v>
      </c>
      <c r="D32" s="68">
        <f>IFERROR(GETPIVOTDATA("valeur",VUE_KPI_FTTH!$A$7,"codeIndicateur","xiv","unite","95e centile","maille","Maille OI","type_valeur","Valeurs Brutes","OC","(vide)"),VUE_KPI_FTTH!A1)</f>
        <v>14.33</v>
      </c>
      <c r="E32" s="67" t="str">
        <f>IFERROR(GETPIVOTDATA("valeur",VUE_KPI_FTTH!$A$7,"codeIndicateur","xiv","unite","95e centile","maille","Maille OI (offres commercialisées sur le marché de gros activé)","type_valeur","Valeurs Nettes","OC","(vide)"),VUE_KPI_FTTH!A1)</f>
        <v>N/A</v>
      </c>
      <c r="F32" s="68" t="str">
        <f>IFERROR(GETPIVOTDATA("valeur",VUE_KPI_FTTH!$A$7,"codeIndicateur","xiv","unite","95e centile","maille","Maille OI (offres commercialisées sur le marché de gros activé)","type_valeur","Valeurs Brutes","OC","(vide)"),VUE_KPI_FTTH!A1)</f>
        <v>N/A</v>
      </c>
      <c r="G32" s="67">
        <f>IFERROR(GETPIVOTDATA("valeur",VUE_KPI_FTTH!$A$7,"codeIndicateur","xiv","unite","95e centile","maille","Maille OI (offres commercialisées sur le marché de détail - Autofourniture)","type_valeur","Valeurs Nettes","OC","(vide)"),VUE_KPI_FTTH!A1)</f>
        <v>2.62</v>
      </c>
      <c r="H32" s="68">
        <f>IFERROR(GETPIVOTDATA("valeur",VUE_KPI_FTTH!$A$7,"codeIndicateur","xiv","unite","95e centile","maille","Maille OI (offres commercialisées sur le marché de détail - Autofourniture)","type_valeur","Valeurs Brutes","OC","(vide)"),VUE_KPI_FTTH!A1)</f>
        <v>2.62</v>
      </c>
      <c r="I32" s="67" t="str">
        <f>IFERROR(GETPIVOTDATA("valeur",VUE_KPI_FTTH!$A$7,"codeIndicateur","xiv","unite","95e centile","maille","Maille d'appréciation","type_valeur","Valeurs Nettes","OC","(vide)"),VUE_KPI_FTTH!A1)</f>
        <v>N/A</v>
      </c>
      <c r="J32" s="68" t="str">
        <f>IFERROR(GETPIVOTDATA("valeur",VUE_KPI_FTTH!$A$7,"codeIndicateur","xiv","unite","95e centile","maille","Maille d'appréciation","type_valeur","Valeurs Brutes","OC","(vide)"),VUE_KPI_FTTH!A1)</f>
        <v>N/A</v>
      </c>
      <c r="K32" s="76" t="e">
        <f t="shared" ca="1" si="0"/>
        <v>#NAME?</v>
      </c>
    </row>
    <row r="33" spans="1:11" ht="30" customHeight="1" x14ac:dyDescent="0.25">
      <c r="A33" s="127" t="s">
        <v>20</v>
      </c>
      <c r="B33" s="5" t="s">
        <v>1</v>
      </c>
      <c r="C33" s="69" t="str">
        <f>IFERROR(GETPIVOTDATA("valeur",VUE_KPI_FTTH!$A$7,"codeIndicateur","xv","unite","Numérateur","maille","Maille OI","type_valeur","Valeurs Nettes","OC","(vide)"),VUE_KPI_FTTH!A1)</f>
        <v>N/A</v>
      </c>
      <c r="D33" s="70" t="str">
        <f>IFERROR(GETPIVOTDATA("valeur",VUE_KPI_FTTH!$A$7,"codeIndicateur","xv","unite","Numérateur","maille","Maille OI","type_valeur","Valeurs Brutes","OC","(vide)"),VUE_KPI_FTTH!A1)</f>
        <v>N/A</v>
      </c>
      <c r="E33" s="69" t="str">
        <f>IFERROR(GETPIVOTDATA("valeur",VUE_KPI_FTTH!$A$7,"codeIndicateur","xv","unite","Numérateur","maille","Maille OI (offres commercialisées sur le marché de gros activé)","type_valeur","Valeurs Nettes","OC","(vide)"),VUE_KPI_FTTH!A1)</f>
        <v>N/A</v>
      </c>
      <c r="F33" s="70" t="str">
        <f>IFERROR(GETPIVOTDATA("valeur",VUE_KPI_FTTH!$A$7,"codeIndicateur","xv","unite","Numérateur","maille","Maille OI (offres commercialisées sur le marché de gros activé)","type_valeur","Valeurs Brutes","OC","(vide)"),VUE_KPI_FTTH!A1)</f>
        <v>N/A</v>
      </c>
      <c r="G33" s="69" t="str">
        <f>IFERROR(GETPIVOTDATA("valeur",VUE_KPI_FTTH!$A$7,"codeIndicateur","xv","unite","Numérateur","maille","Maille OI (offres commercialisées sur le marché de détail - Autofourniture)","type_valeur","Valeurs Nettes","OC","(vide)"),VUE_KPI_FTTH!A1)</f>
        <v>N/A</v>
      </c>
      <c r="H33" s="70" t="str">
        <f>IFERROR(GETPIVOTDATA("valeur",VUE_KPI_FTTH!$A$7,"codeIndicateur","xv","unite","Numérateur","maille","Maille OI (offres commercialisées sur le marché de détail - Autofourniture)","type_valeur","Valeurs Brutes","OC","(vide)"),VUE_KPI_FTTH!A1)</f>
        <v>N/A</v>
      </c>
      <c r="I33" s="69" t="str">
        <f>IFERROR(GETPIVOTDATA("valeur",VUE_KPI_FTTH!$A$7,"codeIndicateur","xv","unite","Numérateur","maille","Maille d'appréciation","type_valeur","Valeurs Nettes","OC","(vide)"),VUE_KPI_FTTH!A1)</f>
        <v>N/A</v>
      </c>
      <c r="J33" s="70" t="str">
        <f>IFERROR(GETPIVOTDATA("valeur",VUE_KPI_FTTH!$A$7,"codeIndicateur","xv","unite","Numérateur","maille","Maille d'appréciation","type_valeur","Valeurs Brutes","OC","(vide)"),VUE_KPI_FTTH!A1)</f>
        <v>N/A</v>
      </c>
      <c r="K33" s="76" t="e">
        <f t="shared" ca="1" si="0"/>
        <v>#NAME?</v>
      </c>
    </row>
    <row r="34" spans="1:11" ht="30" customHeight="1" x14ac:dyDescent="0.25">
      <c r="A34" s="128"/>
      <c r="B34" s="5" t="s">
        <v>2</v>
      </c>
      <c r="C34" s="71" t="str">
        <f>IFERROR(GETPIVOTDATA("valeur",VUE_KPI_FTTH!$A$7,"codeIndicateur","xv","unite","Dénominateur","maille","Maille OI","type_valeur","Valeurs Nettes","OC","(vide)"),VUE_KPI_FTTH!A1)</f>
        <v>N/A</v>
      </c>
      <c r="D34" s="72" t="str">
        <f>IFERROR(GETPIVOTDATA("valeur",VUE_KPI_FTTH!$A$7,"codeIndicateur","xv","unite","Dénominateur","maille","Maille OI","type_valeur","Valeurs Brutes","OC","(vide)"),VUE_KPI_FTTH!A1)</f>
        <v>N/A</v>
      </c>
      <c r="E34" s="71" t="str">
        <f>IFERROR(GETPIVOTDATA("valeur",VUE_KPI_FTTH!$A$7,"codeIndicateur","xv","unite","Dénominateur","maille","Maille OI (offres commercialisées sur le marché de gros activé)","type_valeur","Valeurs Nettes","OC","(vide)"),VUE_KPI_FTTH!A1)</f>
        <v>N/A</v>
      </c>
      <c r="F34" s="72" t="str">
        <f>IFERROR(GETPIVOTDATA("valeur",VUE_KPI_FTTH!$A$7,"codeIndicateur","xv","unite","Dénominateur","maille","Maille OI (offres commercialisées sur le marché de gros activé)","type_valeur","Valeurs Brutes","OC","(vide)"),VUE_KPI_FTTH!A1)</f>
        <v>N/A</v>
      </c>
      <c r="G34" s="71" t="str">
        <f>IFERROR(GETPIVOTDATA("valeur",VUE_KPI_FTTH!$A$7,"codeIndicateur","xv","unite","Dénominateur","maille","Maille OI (offres commercialisées sur le marché de détail - Autofourniture)","type_valeur","Valeurs Nettes","OC","(vide)"),VUE_KPI_FTTH!A1)</f>
        <v>N/A</v>
      </c>
      <c r="H34" s="72" t="str">
        <f>IFERROR(GETPIVOTDATA("valeur",VUE_KPI_FTTH!$A$7,"codeIndicateur","xv","unite","Dénominateur","maille","Maille OI (offres commercialisées sur le marché de détail - Autofourniture)","type_valeur","Valeurs Brutes","OC","(vide)"),VUE_KPI_FTTH!A1)</f>
        <v>N/A</v>
      </c>
      <c r="I34" s="71" t="str">
        <f>IFERROR(GETPIVOTDATA("valeur",VUE_KPI_FTTH!$A$7,"codeIndicateur","xv","unite","Dénominateur","maille","Maille d'appréciation","type_valeur","Valeurs Nettes","OC","(vide)"),VUE_KPI_FTTH!A1)</f>
        <v>N/A</v>
      </c>
      <c r="J34" s="72" t="str">
        <f>IFERROR(GETPIVOTDATA("valeur",VUE_KPI_FTTH!$A$7,"codeIndicateur","xv","unite","Dénominateur","maille","Maille d'appréciation","type_valeur","Valeurs Brutes","OC","(vide)"),VUE_KPI_FTTH!A1)</f>
        <v>N/A</v>
      </c>
      <c r="K34" s="76" t="e">
        <f t="shared" ca="1" si="0"/>
        <v>#NAME?</v>
      </c>
    </row>
    <row r="35" spans="1:11" ht="30" customHeight="1" x14ac:dyDescent="0.25">
      <c r="A35" s="128"/>
      <c r="B35" s="5" t="s">
        <v>3</v>
      </c>
      <c r="C35" s="73" t="str">
        <f t="shared" ref="C35:J35" si="8">IF(OR(C34="",C34="N/A",C34="NC",C34="ND"),"",C33/C34)</f>
        <v/>
      </c>
      <c r="D35" s="73" t="str">
        <f t="shared" si="8"/>
        <v/>
      </c>
      <c r="E35" s="73" t="str">
        <f t="shared" si="8"/>
        <v/>
      </c>
      <c r="F35" s="73" t="str">
        <f t="shared" si="8"/>
        <v/>
      </c>
      <c r="G35" s="73" t="str">
        <f t="shared" si="8"/>
        <v/>
      </c>
      <c r="H35" s="73" t="str">
        <f t="shared" si="8"/>
        <v/>
      </c>
      <c r="I35" s="73" t="str">
        <f t="shared" si="8"/>
        <v/>
      </c>
      <c r="J35" s="73" t="str">
        <f t="shared" si="8"/>
        <v/>
      </c>
      <c r="K35" s="76" t="e">
        <f t="shared" ca="1" si="0"/>
        <v>#NAME?</v>
      </c>
    </row>
    <row r="36" spans="1:11" ht="30" customHeight="1" x14ac:dyDescent="0.25">
      <c r="A36" s="80" t="s">
        <v>21</v>
      </c>
      <c r="B36" s="5" t="s">
        <v>73</v>
      </c>
      <c r="C36" s="67" t="str">
        <f>IFERROR(GETPIVOTDATA("valeur",VUE_KPI_FTTH!$A$7,"codeIndicateur","xvi","unite","Délai moyen","maille","Maille OI","type_valeur","Valeurs Nettes","OC","(vide)"),VUE_KPI_FTTH!A1)</f>
        <v>N/A</v>
      </c>
      <c r="D36" s="68" t="str">
        <f>IFERROR(GETPIVOTDATA("valeur",VUE_KPI_FTTH!$A$7,"codeIndicateur","xvi","unite","Délai moyen","maille","Maille OI","type_valeur","Valeurs Brutes","OC","(vide)"),VUE_KPI_FTTH!A1)</f>
        <v>N/A</v>
      </c>
      <c r="E36" s="67" t="str">
        <f>IFERROR(GETPIVOTDATA("valeur",VUE_KPI_FTTH!$A$7,"codeIndicateur","xvi","unite","Délai moyen","maille","Maille OI (offres commercialisées sur le marché de gros activé)","type_valeur","Valeurs Nettes","OC","(vide)"),VUE_KPI_FTTH!A1)</f>
        <v>N/A</v>
      </c>
      <c r="F36" s="68" t="str">
        <f>IFERROR(GETPIVOTDATA("valeur",VUE_KPI_FTTH!$A$7,"codeIndicateur","xvi","unite","Délai moyen","maille","Maille OI (offres commercialisées sur le marché de gros activé)","type_valeur","Valeurs Brutes","OC","(vide)"),VUE_KPI_FTTH!A1)</f>
        <v>N/A</v>
      </c>
      <c r="G36" s="67" t="str">
        <f>IFERROR(GETPIVOTDATA("valeur",VUE_KPI_FTTH!$A$7,"codeIndicateur","xvi","unite","Délai moyen","maille","Maille OI (offres commercialisées sur le marché de détail - Autofourniture)","type_valeur","Valeurs Nettes","OC","(vide)"),VUE_KPI_FTTH!A1)</f>
        <v>N/A</v>
      </c>
      <c r="H36" s="68" t="str">
        <f>IFERROR(GETPIVOTDATA("valeur",VUE_KPI_FTTH!$A$7,"codeIndicateur","xvi","unite","Délai moyen","maille","Maille OI (offres commercialisées sur le marché de détail - Autofourniture)","type_valeur","Valeurs Brutes","OC","(vide)"),VUE_KPI_FTTH!A1)</f>
        <v>N/A</v>
      </c>
      <c r="I36" s="67" t="str">
        <f>IFERROR(GETPIVOTDATA("valeur",VUE_KPI_FTTH!$A$7,"codeIndicateur","xvi","unite","Délai moyen","maille","Maille d'appréciation","type_valeur","Valeurs Nettes","OC","(vide)"),VUE_KPI_FTTH!A1)</f>
        <v>N/A</v>
      </c>
      <c r="J36" s="68" t="str">
        <f>IFERROR(GETPIVOTDATA("valeur",VUE_KPI_FTTH!$A$7,"codeIndicateur","xvi","unite","Délai moyen","maille","Maille d'appréciation","type_valeur","Valeurs Brutes","OC","(vide)"),VUE_KPI_FTTH!A1)</f>
        <v>N/A</v>
      </c>
      <c r="K36" s="76" t="e">
        <f t="shared" ca="1" si="0"/>
        <v>#NAME?</v>
      </c>
    </row>
    <row r="37" spans="1:11" ht="30" customHeight="1" x14ac:dyDescent="0.25">
      <c r="A37" s="127" t="s">
        <v>22</v>
      </c>
      <c r="B37" s="5" t="s">
        <v>1</v>
      </c>
      <c r="C37" s="69">
        <f>IFERROR(GETPIVOTDATA("valeur",VUE_KPI_FTTH!$A$7,"codeIndicateur","xvii","unite","Numérateur","maille","Maille OI","type_valeur","Valeurs Nettes","OC","(vide)"),VUE_KPI_FTTH!A1)</f>
        <v>0.66666999999999998</v>
      </c>
      <c r="D37" s="70">
        <f>IFERROR(GETPIVOTDATA("valeur",VUE_KPI_FTTH!$A$7,"codeIndicateur","xvii","unite","Numérateur","maille","Maille OI","type_valeur","Valeurs Brutes","OC","(vide)"),VUE_KPI_FTTH!A1)</f>
        <v>0.66666999999999998</v>
      </c>
      <c r="E37" s="69" t="str">
        <f>IFERROR(GETPIVOTDATA("valeur",VUE_KPI_FTTH!$A$7,"codeIndicateur","xvii","unite","Numérateur","maille","Maille OI (offres commercialisées sur le marché de gros activé)","type_valeur","Valeurs Nettes","OC","(vide)"),VUE_KPI_FTTH!A1)</f>
        <v>N/A</v>
      </c>
      <c r="F37" s="70" t="str">
        <f>IFERROR(GETPIVOTDATA("valeur",VUE_KPI_FTTH!$A$7,"codeIndicateur","xvii","unite","Numérateur","maille","Maille OI (offres commercialisées sur le marché de gros activé)","type_valeur","Valeurs Brutes","OC","(vide)"),VUE_KPI_FTTH!A1)</f>
        <v>N/A</v>
      </c>
      <c r="G37" s="69">
        <f>IFERROR(GETPIVOTDATA("valeur",VUE_KPI_FTTH!$A$7,"codeIndicateur","xvii","unite","Numérateur","maille","Maille OI (offres commercialisées sur le marché de détail - Autofourniture)","type_valeur","Valeurs Nettes","OC","(vide)"),VUE_KPI_FTTH!A1)</f>
        <v>0</v>
      </c>
      <c r="H37" s="70">
        <f>IFERROR(GETPIVOTDATA("valeur",VUE_KPI_FTTH!$A$7,"codeIndicateur","xvii","unite","Numérateur","maille","Maille OI (offres commercialisées sur le marché de détail - Autofourniture)","type_valeur","Valeurs Brutes","OC","(vide)"),VUE_KPI_FTTH!A1)</f>
        <v>0</v>
      </c>
      <c r="I37" s="69" t="str">
        <f>IFERROR(GETPIVOTDATA("valeur",VUE_KPI_FTTH!$A$7,"codeIndicateur","xvii","unite","Numérateur","maille","Maille d'appréciation","type_valeur","Valeurs Nettes","OC","(vide)"),VUE_KPI_FTTH!A1)</f>
        <v>N/A</v>
      </c>
      <c r="J37" s="70" t="str">
        <f>IFERROR(GETPIVOTDATA("valeur",VUE_KPI_FTTH!$A$7,"codeIndicateur","xvii","unite","Numérateur","maille","Maille d'appréciation","type_valeur","Valeurs Brutes","OC","(vide)"),VUE_KPI_FTTH!A1)</f>
        <v>N/A</v>
      </c>
      <c r="K37" s="76" t="e">
        <f t="shared" ca="1" si="0"/>
        <v>#NAME?</v>
      </c>
    </row>
    <row r="38" spans="1:11" ht="30" customHeight="1" x14ac:dyDescent="0.25">
      <c r="A38" s="128"/>
      <c r="B38" s="5" t="s">
        <v>2</v>
      </c>
      <c r="C38" s="71">
        <f>IFERROR(GETPIVOTDATA("valeur",VUE_KPI_FTTH!$A$7,"codeIndicateur","xvii","unite","Dénominateur","maille","Maille OI","type_valeur","Valeurs Nettes","OC","(vide)"),VUE_KPI_FTTH!A1)</f>
        <v>10362</v>
      </c>
      <c r="D38" s="72">
        <f>IFERROR(GETPIVOTDATA("valeur",VUE_KPI_FTTH!$A$7,"codeIndicateur","xvii","unite","Dénominateur","maille","Maille OI","type_valeur","Valeurs Brutes","OC","(vide)"),VUE_KPI_FTTH!A1)</f>
        <v>10362</v>
      </c>
      <c r="E38" s="71" t="str">
        <f>IFERROR(GETPIVOTDATA("valeur",VUE_KPI_FTTH!$A$7,"codeIndicateur","xvii","unite","Dénominateur","maille","Maille OI (offres commercialisées sur le marché de gros activé)","type_valeur","Valeurs Nettes","OC","(vide)"),VUE_KPI_FTTH!A1)</f>
        <v>N/A</v>
      </c>
      <c r="F38" s="72" t="str">
        <f>IFERROR(GETPIVOTDATA("valeur",VUE_KPI_FTTH!$A$7,"codeIndicateur","xvii","unite","Dénominateur","maille","Maille OI (offres commercialisées sur le marché de gros activé)","type_valeur","Valeurs Brutes","OC","(vide)"),VUE_KPI_FTTH!A1)</f>
        <v>N/A</v>
      </c>
      <c r="G38" s="71">
        <f>IFERROR(GETPIVOTDATA("valeur",VUE_KPI_FTTH!$A$7,"codeIndicateur","xvii","unite","Dénominateur","maille","Maille OI (offres commercialisées sur le marché de détail - Autofourniture)","type_valeur","Valeurs Nettes","OC","(vide)"),VUE_KPI_FTTH!A1)</f>
        <v>7867.6666699999996</v>
      </c>
      <c r="H38" s="72">
        <f>IFERROR(GETPIVOTDATA("valeur",VUE_KPI_FTTH!$A$7,"codeIndicateur","xvii","unite","Dénominateur","maille","Maille OI (offres commercialisées sur le marché de détail - Autofourniture)","type_valeur","Valeurs Brutes","OC","(vide)"),VUE_KPI_FTTH!A1)</f>
        <v>7867.6666699999996</v>
      </c>
      <c r="I38" s="71" t="str">
        <f>IFERROR(GETPIVOTDATA("valeur",VUE_KPI_FTTH!$A$7,"codeIndicateur","xvii","unite","Dénominateur","maille","Maille d'appréciation","type_valeur","Valeurs Nettes","OC","(vide)"),VUE_KPI_FTTH!A1)</f>
        <v>N/A</v>
      </c>
      <c r="J38" s="72" t="str">
        <f>IFERROR(GETPIVOTDATA("valeur",VUE_KPI_FTTH!$A$7,"codeIndicateur","xvii","unite","Dénominateur","maille","Maille d'appréciation","type_valeur","Valeurs Brutes","OC","(vide)"),VUE_KPI_FTTH!A1)</f>
        <v>N/A</v>
      </c>
      <c r="K38" s="76" t="e">
        <f t="shared" ca="1" si="0"/>
        <v>#NAME?</v>
      </c>
    </row>
    <row r="39" spans="1:11" ht="30" customHeight="1" x14ac:dyDescent="0.25">
      <c r="A39" s="128"/>
      <c r="B39" s="5" t="s">
        <v>3</v>
      </c>
      <c r="C39" s="73">
        <f t="shared" ref="C39:J39" si="9">IF(OR(C38="",C38="N/A",C38="NC",C38="ND"),"",C37/C38)</f>
        <v>6.4337965643698132E-5</v>
      </c>
      <c r="D39" s="73">
        <f t="shared" si="9"/>
        <v>6.4337965643698132E-5</v>
      </c>
      <c r="E39" s="73" t="str">
        <f t="shared" si="9"/>
        <v/>
      </c>
      <c r="F39" s="73" t="str">
        <f t="shared" si="9"/>
        <v/>
      </c>
      <c r="G39" s="73">
        <f t="shared" si="9"/>
        <v>0</v>
      </c>
      <c r="H39" s="73">
        <f t="shared" si="9"/>
        <v>0</v>
      </c>
      <c r="I39" s="73" t="str">
        <f t="shared" si="9"/>
        <v/>
      </c>
      <c r="J39" s="73" t="str">
        <f t="shared" si="9"/>
        <v/>
      </c>
      <c r="K39" s="76" t="e">
        <f t="shared" ca="1" si="0"/>
        <v>#NAME?</v>
      </c>
    </row>
    <row r="40" spans="1:11" ht="30" customHeight="1" x14ac:dyDescent="0.25">
      <c r="A40" s="127" t="s">
        <v>23</v>
      </c>
      <c r="B40" s="5" t="s">
        <v>1</v>
      </c>
      <c r="C40" s="69">
        <f>IFERROR(GETPIVOTDATA("valeur",VUE_KPI_FTTH!$A$7,"codeIndicateur","xviii","unite","Numérateur","maille","Maille OI","type_valeur","Valeurs Nettes","OC","(vide)"),VUE_KPI_FTTH!A1)</f>
        <v>1</v>
      </c>
      <c r="D40" s="70">
        <f>IFERROR(GETPIVOTDATA("valeur",VUE_KPI_FTTH!$A$7,"codeIndicateur","xviii","unite","Numérateur","maille","Maille OI","type_valeur","Valeurs Brutes","OC","(vide)"),VUE_KPI_FTTH!A1)</f>
        <v>1</v>
      </c>
      <c r="E40" s="69" t="str">
        <f>IFERROR(GETPIVOTDATA("valeur",VUE_KPI_FTTH!$A$7,"codeIndicateur","xviii","unite","Numérateur","maille","Maille OI (offres commercialisées sur le marché de gros activé)","type_valeur","Valeurs Nettes","OC","(vide)"),VUE_KPI_FTTH!A1)</f>
        <v>N/A</v>
      </c>
      <c r="F40" s="70" t="str">
        <f>IFERROR(GETPIVOTDATA("valeur",VUE_KPI_FTTH!$A$7,"codeIndicateur","xviii","unite","Numérateur","maille","Maille OI (offres commercialisées sur le marché de gros activé)","type_valeur","Valeurs Brutes","OC","(vide)"),VUE_KPI_FTTH!A1)</f>
        <v>N/A</v>
      </c>
      <c r="G40" s="69">
        <f>IFERROR(GETPIVOTDATA("valeur",VUE_KPI_FTTH!$A$7,"codeIndicateur","xviii","unite","Numérateur","maille","Maille OI (offres commercialisées sur le marché de détail - Autofourniture)","type_valeur","Valeurs Nettes","OC","(vide)"),VUE_KPI_FTTH!A1)</f>
        <v>0</v>
      </c>
      <c r="H40" s="70">
        <f>IFERROR(GETPIVOTDATA("valeur",VUE_KPI_FTTH!$A$7,"codeIndicateur","xviii","unite","Numérateur","maille","Maille OI (offres commercialisées sur le marché de détail - Autofourniture)","type_valeur","Valeurs Brutes","OC","(vide)"),VUE_KPI_FTTH!A1)</f>
        <v>0</v>
      </c>
      <c r="I40" s="69" t="str">
        <f>IFERROR(GETPIVOTDATA("valeur",VUE_KPI_FTTH!$A$7,"codeIndicateur","xviii","unite","Numérateur","maille","Maille d'appréciation","type_valeur","Valeurs Nettes","OC","(vide)"),VUE_KPI_FTTH!A1)</f>
        <v>N/A</v>
      </c>
      <c r="J40" s="70" t="str">
        <f>IFERROR(GETPIVOTDATA("valeur",VUE_KPI_FTTH!$A$7,"codeIndicateur","xviii","unite","Numérateur","maille","Maille d'appréciation","type_valeur","Valeurs Brutes","OC","(vide)"),VUE_KPI_FTTH!A1)</f>
        <v>N/A</v>
      </c>
      <c r="K40" s="76" t="e">
        <f t="shared" ca="1" si="0"/>
        <v>#NAME?</v>
      </c>
    </row>
    <row r="41" spans="1:11" ht="30" customHeight="1" x14ac:dyDescent="0.25">
      <c r="A41" s="128"/>
      <c r="B41" s="5" t="s">
        <v>2</v>
      </c>
      <c r="C41" s="71">
        <f>IFERROR(GETPIVOTDATA("valeur",VUE_KPI_FTTH!$A$7,"codeIndicateur","xviii","unite","Dénominateur","maille","Maille OI","type_valeur","Valeurs Nettes","OC","(vide)"),VUE_KPI_FTTH!A1)</f>
        <v>2</v>
      </c>
      <c r="D41" s="72">
        <f>IFERROR(GETPIVOTDATA("valeur",VUE_KPI_FTTH!$A$7,"codeIndicateur","xviii","unite","Dénominateur","maille","Maille OI","type_valeur","Valeurs Brutes","OC","(vide)"),VUE_KPI_FTTH!A1)</f>
        <v>2</v>
      </c>
      <c r="E41" s="71" t="str">
        <f>IFERROR(GETPIVOTDATA("valeur",VUE_KPI_FTTH!$A$7,"codeIndicateur","xviii","unite","Dénominateur","maille","Maille OI (offres commercialisées sur le marché de gros activé)","type_valeur","Valeurs Nettes","OC","(vide)"),VUE_KPI_FTTH!A1)</f>
        <v>N/A</v>
      </c>
      <c r="F41" s="72" t="str">
        <f>IFERROR(GETPIVOTDATA("valeur",VUE_KPI_FTTH!$A$7,"codeIndicateur","xviii","unite","Dénominateur","maille","Maille OI (offres commercialisées sur le marché de gros activé)","type_valeur","Valeurs Brutes","OC","(vide)"),VUE_KPI_FTTH!A1)</f>
        <v>N/A</v>
      </c>
      <c r="G41" s="71">
        <f>IFERROR(GETPIVOTDATA("valeur",VUE_KPI_FTTH!$A$7,"codeIndicateur","xviii","unite","Dénominateur","maille","Maille OI (offres commercialisées sur le marché de détail - Autofourniture)","type_valeur","Valeurs Nettes","OC","(vide)"),VUE_KPI_FTTH!A1)</f>
        <v>1</v>
      </c>
      <c r="H41" s="72">
        <f>IFERROR(GETPIVOTDATA("valeur",VUE_KPI_FTTH!$A$7,"codeIndicateur","xviii","unite","Dénominateur","maille","Maille OI (offres commercialisées sur le marché de détail - Autofourniture)","type_valeur","Valeurs Brutes","OC","(vide)"),VUE_KPI_FTTH!A1)</f>
        <v>1</v>
      </c>
      <c r="I41" s="71" t="str">
        <f>IFERROR(GETPIVOTDATA("valeur",VUE_KPI_FTTH!$A$7,"codeIndicateur","xviii","unite","Dénominateur","maille","Maille d'appréciation","type_valeur","Valeurs Nettes","OC","(vide)"),VUE_KPI_FTTH!A1)</f>
        <v>N/A</v>
      </c>
      <c r="J41" s="72" t="str">
        <f>IFERROR(GETPIVOTDATA("valeur",VUE_KPI_FTTH!$A$7,"codeIndicateur","xviii","unite","Dénominateur","maille","Maille d'appréciation","type_valeur","Valeurs Brutes","OC","(vide)"),VUE_KPI_FTTH!A1)</f>
        <v>N/A</v>
      </c>
      <c r="K41" s="76" t="e">
        <f t="shared" ca="1" si="0"/>
        <v>#NAME?</v>
      </c>
    </row>
    <row r="42" spans="1:11" ht="30" customHeight="1" x14ac:dyDescent="0.25">
      <c r="A42" s="128"/>
      <c r="B42" s="5" t="s">
        <v>3</v>
      </c>
      <c r="C42" s="73">
        <f t="shared" ref="C42:J42" si="10">IF(OR(C41="",C41="N/A",C41="NC",C41="ND"),"",C40/C41)</f>
        <v>0.5</v>
      </c>
      <c r="D42" s="73">
        <f t="shared" si="10"/>
        <v>0.5</v>
      </c>
      <c r="E42" s="73" t="str">
        <f t="shared" si="10"/>
        <v/>
      </c>
      <c r="F42" s="73" t="str">
        <f t="shared" si="10"/>
        <v/>
      </c>
      <c r="G42" s="73">
        <f t="shared" si="10"/>
        <v>0</v>
      </c>
      <c r="H42" s="73">
        <f t="shared" si="10"/>
        <v>0</v>
      </c>
      <c r="I42" s="73" t="str">
        <f t="shared" si="10"/>
        <v/>
      </c>
      <c r="J42" s="73" t="str">
        <f t="shared" si="10"/>
        <v/>
      </c>
      <c r="K42" s="76" t="e">
        <f t="shared" ca="1" si="0"/>
        <v>#NAME?</v>
      </c>
    </row>
    <row r="43" spans="1:11" x14ac:dyDescent="0.25">
      <c r="A43" s="81"/>
      <c r="B43" s="81"/>
    </row>
  </sheetData>
  <sheetProtection sheet="1" objects="1" scenarios="1" selectLockedCells="1"/>
  <mergeCells count="16">
    <mergeCell ref="A37:A39"/>
    <mergeCell ref="A40:A42"/>
    <mergeCell ref="A33:A35"/>
    <mergeCell ref="A29:A31"/>
    <mergeCell ref="A25:A27"/>
    <mergeCell ref="A24:J24"/>
    <mergeCell ref="A21:A23"/>
    <mergeCell ref="A7:A9"/>
    <mergeCell ref="A10:A12"/>
    <mergeCell ref="A15:A17"/>
    <mergeCell ref="I1:J1"/>
    <mergeCell ref="G1:H1"/>
    <mergeCell ref="E1:F1"/>
    <mergeCell ref="C1:D1"/>
    <mergeCell ref="A4:A6"/>
    <mergeCell ref="A3:J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5"/>
  <sheetViews>
    <sheetView showGridLines="0" zoomScale="80" zoomScaleNormal="80" workbookViewId="0">
      <selection activeCell="C9" sqref="C9"/>
    </sheetView>
  </sheetViews>
  <sheetFormatPr baseColWidth="10" defaultColWidth="11.5703125" defaultRowHeight="15" x14ac:dyDescent="0.25"/>
  <cols>
    <col min="1" max="1" width="60.7109375" style="25" customWidth="1"/>
    <col min="2" max="2" width="10.7109375" style="25" customWidth="1"/>
    <col min="3" max="10" width="15.7109375" style="25" customWidth="1"/>
    <col min="11" max="16384" width="11.5703125" style="25"/>
  </cols>
  <sheetData>
    <row r="1" spans="1:11" ht="40.15" customHeight="1" x14ac:dyDescent="0.25">
      <c r="A1" s="4"/>
      <c r="B1" s="4"/>
      <c r="C1" s="126" t="s">
        <v>0</v>
      </c>
      <c r="D1" s="126"/>
      <c r="E1" s="126" t="s">
        <v>69</v>
      </c>
      <c r="F1" s="126"/>
      <c r="G1" s="126" t="s">
        <v>70</v>
      </c>
      <c r="H1" s="126"/>
      <c r="I1" s="126" t="s">
        <v>66</v>
      </c>
      <c r="J1" s="126"/>
    </row>
    <row r="2" spans="1:11" ht="19.899999999999999" customHeight="1" x14ac:dyDescent="0.25">
      <c r="A2" s="4"/>
      <c r="B2" s="4"/>
      <c r="C2" s="7" t="s">
        <v>68</v>
      </c>
      <c r="D2" s="7" t="s">
        <v>65</v>
      </c>
      <c r="E2" s="7" t="s">
        <v>68</v>
      </c>
      <c r="F2" s="7" t="s">
        <v>65</v>
      </c>
      <c r="G2" s="7" t="s">
        <v>68</v>
      </c>
      <c r="H2" s="7" t="s">
        <v>65</v>
      </c>
      <c r="I2" s="7" t="s">
        <v>68</v>
      </c>
      <c r="J2" s="6" t="s">
        <v>65</v>
      </c>
    </row>
    <row r="3" spans="1:11" ht="19.899999999999999" customHeight="1" x14ac:dyDescent="0.25">
      <c r="A3" s="129" t="s">
        <v>4</v>
      </c>
      <c r="B3" s="130"/>
      <c r="C3" s="130"/>
      <c r="D3" s="130"/>
      <c r="E3" s="130"/>
      <c r="F3" s="130"/>
      <c r="G3" s="130"/>
      <c r="H3" s="130"/>
      <c r="I3" s="130"/>
      <c r="J3" s="131"/>
    </row>
    <row r="4" spans="1:11" ht="30" customHeight="1" x14ac:dyDescent="0.25">
      <c r="A4" s="132" t="s">
        <v>24</v>
      </c>
      <c r="B4" s="8" t="s">
        <v>1</v>
      </c>
      <c r="C4" s="69">
        <f>IFERROR(GETPIVOTDATA("valeur",VUE_KPI_FTTH!$A$7,"codeIndicateur","xxiii","unite","Numérateur","maille","Maille OI","type_valeur","Valeurs Nettes","OC","(vide)"),VUE_KPI_FTTH!A1)</f>
        <v>57</v>
      </c>
      <c r="D4" s="70" t="str">
        <f>IFERROR(GETPIVOTDATA("valeur",VUE_KPI_FTTH!$A$7,"codeIndicateur","xxiii","unite","Numérateur","maille","Maille OI","type_valeur","Valeurs Brutes","OC","(vide)"),VUE_KPI_FTTH!A1)</f>
        <v>N/A</v>
      </c>
      <c r="E4" s="69" t="str">
        <f>IFERROR(GETPIVOTDATA("valeur",VUE_KPI_FTTH!$A$7,"codeIndicateur","xxiii","unite","Numérateur","maille","Maille OI (offres commercialisées sur le marché de gros activé)","type_valeur","Valeurs Nettes","OC","(vide)"),VUE_KPI_FTTH!A1)</f>
        <v>N/A</v>
      </c>
      <c r="F4" s="70" t="str">
        <f>IFERROR(GETPIVOTDATA("valeur",VUE_KPI_FTTH!$A$7,"codeIndicateur","xxiii","unite","Numérateur","maille","Maille OI (offres commercialisées sur le marché de gros activé)","type_valeur","Valeurs Brutes","OC","(vide)"),VUE_KPI_FTTH!A1)</f>
        <v>N/A</v>
      </c>
      <c r="G4" s="69" t="str">
        <f>IFERROR(GETPIVOTDATA("valeur",VUE_KPI_FTTH!$A$7,"codeIndicateur","xxiii","unite","Numérateur","maille","Maille OI (offres commercialisées sur le marché de détail - Autofourniture)","type_valeur","Valeurs Nettes","OC","(vide)"),VUE_KPI_FTTH!A1)</f>
        <v>N/A</v>
      </c>
      <c r="H4" s="70" t="str">
        <f>IFERROR(GETPIVOTDATA("valeur",VUE_KPI_FTTH!$A$7,"codeIndicateur","xxiii","unite","Numérateur","maille","Maille OI (offres commercialisées sur le marché de détail - Autofourniture)","type_valeur","Valeurs Brutes","OC","(vide)"),VUE_KPI_FTTH!A1)</f>
        <v>N/A</v>
      </c>
      <c r="I4" s="69" t="str">
        <f>IFERROR(GETPIVOTDATA("valeur",VUE_KPI_FTTH!$A$7,"codeIndicateur","xxiii","unite","Numérateur","maille","Maille d'appréciation","type_valeur","Valeurs Nettes","OC","(vide)"),VUE_KPI_FTTH!A1)</f>
        <v>N/A</v>
      </c>
      <c r="J4" s="70" t="str">
        <f>IFERROR(GETPIVOTDATA("valeur",VUE_KPI_FTTH!$A$7,"codeIndicateur","xxiii","unite","Numérateur","maille","Maille d'appréciation","type_valeur","Valeurs Brutes","OC","(vide)"),VUE_KPI_FTTH!A1)</f>
        <v>N/A</v>
      </c>
      <c r="K4" s="76"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AND(B4&lt;&gt;"Numérateur",B4&lt;&gt;"Dénominateur",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MIN(C4:J4)&lt;0,"Nombres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11" ht="30" customHeight="1" x14ac:dyDescent="0.25">
      <c r="A5" s="133"/>
      <c r="B5" s="5" t="s">
        <v>2</v>
      </c>
      <c r="C5" s="71">
        <f>IFERROR(GETPIVOTDATA("valeur",VUE_KPI_FTTH!$A$7,"codeIndicateur","xxiii","unite","Dénominateur","maille","Maille OI","type_valeur","Valeurs Nettes","OC","(vide)"),VUE_KPI_FTTH!A1)</f>
        <v>71</v>
      </c>
      <c r="D5" s="72" t="str">
        <f>IFERROR(GETPIVOTDATA("valeur",VUE_KPI_FTTH!$A$7,"codeIndicateur","xxiii","unite","Dénominateur","maille","Maille OI","type_valeur","Valeurs Brutes","OC","(vide)"),VUE_KPI_FTTH!A1)</f>
        <v>N/A</v>
      </c>
      <c r="E5" s="71" t="str">
        <f>IFERROR(GETPIVOTDATA("valeur",VUE_KPI_FTTH!$A$7,"codeIndicateur","xxiii","unite","Dénominateur","maille","Maille OI (offres commercialisées sur le marché de gros activé)","type_valeur","Valeurs Nettes","OC","(vide)"),VUE_KPI_FTTH!A1)</f>
        <v>N/A</v>
      </c>
      <c r="F5" s="72" t="str">
        <f>IFERROR(GETPIVOTDATA("valeur",VUE_KPI_FTTH!$A$7,"codeIndicateur","xxiii","unite","Dénominateur","maille","Maille OI (offres commercialisées sur le marché de gros activé)","type_valeur","Valeurs Brutes","OC","(vide)"),VUE_KPI_FTTH!A1)</f>
        <v>N/A</v>
      </c>
      <c r="G5" s="71" t="str">
        <f>IFERROR(GETPIVOTDATA("valeur",VUE_KPI_FTTH!$A$7,"codeIndicateur","xxiii","unite","Dénominateur","maille","Maille OI (offres commercialisées sur le marché de détail - Autofourniture)","type_valeur","Valeurs Nettes","OC","(vide)"),VUE_KPI_FTTH!A1)</f>
        <v>N/A</v>
      </c>
      <c r="H5" s="72" t="str">
        <f>IFERROR(GETPIVOTDATA("valeur",VUE_KPI_FTTH!$A$7,"codeIndicateur","xxiii","unite","Dénominateur","maille","Maille OI (offres commercialisées sur le marché de détail - Autofourniture)","type_valeur","Valeurs Brutes","OC","(vide)"),VUE_KPI_FTTH!A1)</f>
        <v>N/A</v>
      </c>
      <c r="I5" s="71" t="str">
        <f>IFERROR(GETPIVOTDATA("valeur",VUE_KPI_FTTH!$A$7,"codeIndicateur","xxiii","unite","Dénominateur","maille","Maille d'appréciation","type_valeur","Valeurs Nettes","OC","(vide)"),VUE_KPI_FTTH!A1)</f>
        <v>N/A</v>
      </c>
      <c r="J5" s="72" t="str">
        <f>IFERROR(GETPIVOTDATA("valeur",VUE_KPI_FTTH!$A$7,"codeIndicateur","xxiii","unite","Dénominateur","maille","Maille d'appréciation","type_valeur","Valeurs Brutes","OC","(vide)"),VUE_KPI_FTTH!A1)</f>
        <v>N/A</v>
      </c>
      <c r="K5" s="76" t="e">
        <f t="shared" ref="K5:K25"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AND(B5&lt;&gt;"Numérateur",B5&lt;&gt;"Dénominateur",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MIN(C5:J5)&lt;0,"Nombres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11" ht="30" customHeight="1" x14ac:dyDescent="0.25">
      <c r="A6" s="127"/>
      <c r="B6" s="5" t="s">
        <v>3</v>
      </c>
      <c r="C6" s="73">
        <f t="shared" ref="C6:J6" si="1">IF(OR(C5="",C5="N/A",C5="NC",C5="ND"),"",C4/C5)</f>
        <v>0.80281690140845074</v>
      </c>
      <c r="D6" s="73" t="str">
        <f t="shared" si="1"/>
        <v/>
      </c>
      <c r="E6" s="73" t="str">
        <f t="shared" si="1"/>
        <v/>
      </c>
      <c r="F6" s="73" t="str">
        <f t="shared" si="1"/>
        <v/>
      </c>
      <c r="G6" s="73" t="str">
        <f t="shared" si="1"/>
        <v/>
      </c>
      <c r="H6" s="73" t="str">
        <f t="shared" si="1"/>
        <v/>
      </c>
      <c r="I6" s="73" t="str">
        <f t="shared" si="1"/>
        <v/>
      </c>
      <c r="J6" s="73" t="str">
        <f t="shared" si="1"/>
        <v/>
      </c>
      <c r="K6" s="76" t="e">
        <f t="shared" ca="1" si="0"/>
        <v>#NAME?</v>
      </c>
    </row>
    <row r="7" spans="1:11" ht="30" customHeight="1" x14ac:dyDescent="0.25">
      <c r="A7" s="80" t="s">
        <v>25</v>
      </c>
      <c r="B7" s="9" t="s">
        <v>73</v>
      </c>
      <c r="C7" s="67">
        <f>IFERROR(GETPIVOTDATA("valeur",VUE_KPI_FTTH!$A$7,"codeIndicateur","xxiv","unite","Délai moyen","maille","Maille OI","type_valeur","Valeurs Nettes","OC","(vide)"),VUE_KPI_FTTH!A1)</f>
        <v>103</v>
      </c>
      <c r="D7" s="68" t="str">
        <f>IFERROR(GETPIVOTDATA("valeur",VUE_KPI_FTTH!$A$7,"codeIndicateur","xxiv","unite","Délai moyen","maille","Maille OI","type_valeur","Valeurs Brutes","OC","(vide)"),VUE_KPI_FTTH!A1)</f>
        <v>N/A</v>
      </c>
      <c r="E7" s="67" t="str">
        <f>IFERROR(GETPIVOTDATA("valeur",VUE_KPI_FTTH!$A$7,"codeIndicateur","xxiv","unite","Délai moyen","maille","Maille OI (offres commercialisées sur le marché de gros activé)","type_valeur","Valeurs Nettes","OC","(vide)"),VUE_KPI_FTTH!A1)</f>
        <v>N/A</v>
      </c>
      <c r="F7" s="68" t="str">
        <f>IFERROR(GETPIVOTDATA("valeur",VUE_KPI_FTTH!$A$7,"codeIndicateur","xxiv","unite","Délai moyen","maille","Maille OI (offres commercialisées sur le marché de gros activé)","type_valeur","Valeurs Brutes","OC","(vide)"),VUE_KPI_FTTH!A1)</f>
        <v>N/A</v>
      </c>
      <c r="G7" s="67" t="str">
        <f>IFERROR(GETPIVOTDATA("valeur",VUE_KPI_FTTH!$A$7,"codeIndicateur","xxiv","unite","Délai moyen","maille","Maille OI (offres commercialisées sur le marché de détail - Autofourniture)","type_valeur","Valeurs Nettes","OC","(vide)"),VUE_KPI_FTTH!A1)</f>
        <v>N/A</v>
      </c>
      <c r="H7" s="68" t="str">
        <f>IFERROR(GETPIVOTDATA("valeur",VUE_KPI_FTTH!$A$7,"codeIndicateur","xxiv","unite","Délai moyen","maille","Maille OI (offres commercialisées sur le marché de détail - Autofourniture)","type_valeur","Valeurs Brutes","OC","(vide)"),VUE_KPI_FTTH!A1)</f>
        <v>N/A</v>
      </c>
      <c r="I7" s="67" t="str">
        <f>IFERROR(GETPIVOTDATA("valeur",VUE_KPI_FTTH!$A$7,"codeIndicateur","xxiv","unite","Délai moyen","maille","Maille d'appréciation","type_valeur","Valeurs Nettes","OC","(vide)"),VUE_KPI_FTTH!A1)</f>
        <v>N/A</v>
      </c>
      <c r="J7" s="68" t="str">
        <f>IFERROR(GETPIVOTDATA("valeur",VUE_KPI_FTTH!$A$7,"codeIndicateur","xxiv","unite","Délai moyen","maille","Maille d'appréciation","type_valeur","Valeurs Brutes","OC","(vide)"),VUE_KPI_FTTH!A1)</f>
        <v>N/A</v>
      </c>
      <c r="K7" s="76" t="e">
        <f t="shared" ca="1" si="0"/>
        <v>#NAME?</v>
      </c>
    </row>
    <row r="8" spans="1:11" ht="19.899999999999999" customHeight="1" x14ac:dyDescent="0.25">
      <c r="A8" s="129" t="s">
        <v>5</v>
      </c>
      <c r="B8" s="130"/>
      <c r="C8" s="130"/>
      <c r="D8" s="130"/>
      <c r="E8" s="130"/>
      <c r="F8" s="130"/>
      <c r="G8" s="130"/>
      <c r="H8" s="130"/>
      <c r="I8" s="130"/>
      <c r="J8" s="131"/>
      <c r="K8" s="76" t="e">
        <f t="shared" ca="1" si="0"/>
        <v>#NAME?</v>
      </c>
    </row>
    <row r="9" spans="1:11" ht="30" customHeight="1" x14ac:dyDescent="0.25">
      <c r="A9" s="132" t="s">
        <v>26</v>
      </c>
      <c r="B9" s="5" t="s">
        <v>1</v>
      </c>
      <c r="C9" s="69" t="str">
        <f>IFERROR(GETPIVOTDATA("valeur",VUE_KPI_FTTH!$A$7,"codeIndicateur","xix","unite","Numérateur","maille","Maille OI","type_valeur","Valeurs Nettes","OC","(vide)"),VUE_KPI_FTTH!A1)</f>
        <v>N/A</v>
      </c>
      <c r="D9" s="70" t="str">
        <f>IFERROR(GETPIVOTDATA("valeur",VUE_KPI_FTTH!$A$7,"codeIndicateur","xix","unite","Numérateur","maille","Maille OI","type_valeur","Valeurs Brutes","OC","(vide)"),VUE_KPI_FTTH!A1)</f>
        <v>N/A</v>
      </c>
      <c r="E9" s="69" t="str">
        <f>IFERROR(GETPIVOTDATA("valeur",VUE_KPI_FTTH!$A$7,"codeIndicateur","xix","unite","Numérateur","maille","Maille OI (offres commercialisées sur le marché de gros activé)","type_valeur","Valeurs Nettes","OC","(vide)"),VUE_KPI_FTTH!A1)</f>
        <v>N/A</v>
      </c>
      <c r="F9" s="70" t="str">
        <f>IFERROR(GETPIVOTDATA("valeur",VUE_KPI_FTTH!$A$7,"codeIndicateur","xix","unite","Numérateur","maille","Maille OI (offres commercialisées sur le marché de gros activé)","type_valeur","Valeurs Brutes","OC","(vide)"),VUE_KPI_FTTH!A1)</f>
        <v>N/A</v>
      </c>
      <c r="G9" s="69" t="str">
        <f>IFERROR(GETPIVOTDATA("valeur",VUE_KPI_FTTH!$A$7,"codeIndicateur","xix","unite","Numérateur","maille","Maille OI (offres commercialisées sur le marché de détail - Autofourniture)","type_valeur","Valeurs Nettes","OC","(vide)"),VUE_KPI_FTTH!A1)</f>
        <v>N/A</v>
      </c>
      <c r="H9" s="70" t="str">
        <f>IFERROR(GETPIVOTDATA("valeur",VUE_KPI_FTTH!$A$7,"codeIndicateur","xix","unite","Numérateur","maille","Maille OI (offres commercialisées sur le marché de détail - Autofourniture)","type_valeur","Valeurs Brutes","OC","(vide)"),VUE_KPI_FTTH!A1)</f>
        <v>N/A</v>
      </c>
      <c r="I9" s="69" t="str">
        <f>IFERROR(GETPIVOTDATA("valeur",VUE_KPI_FTTH!$A$7,"codeIndicateur","xix","unite","Numérateur","maille","Maille d'appréciation","type_valeur","Valeurs Nettes","OC","(vide)"),VUE_KPI_FTTH!A1)</f>
        <v>N/A</v>
      </c>
      <c r="J9" s="70" t="str">
        <f>IFERROR(GETPIVOTDATA("valeur",VUE_KPI_FTTH!$A$7,"codeIndicateur","xix","unite","Numérateur","maille","Maille d'appréciation","type_valeur","Valeurs Brutes","OC","(vide)"),VUE_KPI_FTTH!A1)</f>
        <v>N/A</v>
      </c>
      <c r="K9" s="76" t="e">
        <f t="shared" ca="1" si="0"/>
        <v>#NAME?</v>
      </c>
    </row>
    <row r="10" spans="1:11" ht="30" customHeight="1" x14ac:dyDescent="0.25">
      <c r="A10" s="133"/>
      <c r="B10" s="5" t="s">
        <v>2</v>
      </c>
      <c r="C10" s="71" t="str">
        <f>IFERROR(GETPIVOTDATA("valeur",VUE_KPI_FTTH!$A$7,"codeIndicateur","xix","unite","Dénominateur","maille","Maille OI","type_valeur","Valeurs Nettes","OC","(vide)"),VUE_KPI_FTTH!A1)</f>
        <v>N/A</v>
      </c>
      <c r="D10" s="72" t="str">
        <f>IFERROR(GETPIVOTDATA("valeur",VUE_KPI_FTTH!$A$7,"codeIndicateur","xix","unite","Dénominateur","maille","Maille OI","type_valeur","Valeurs Brutes","OC","(vide)"),VUE_KPI_FTTH!A1)</f>
        <v>N/A</v>
      </c>
      <c r="E10" s="71" t="str">
        <f>IFERROR(GETPIVOTDATA("valeur",VUE_KPI_FTTH!$A$7,"codeIndicateur","xix","unite","Dénominateur","maille","Maille OI (offres commercialisées sur le marché de gros activé)","type_valeur","Valeurs Nettes","OC","(vide)"),VUE_KPI_FTTH!A1)</f>
        <v>N/A</v>
      </c>
      <c r="F10" s="72" t="str">
        <f>IFERROR(GETPIVOTDATA("valeur",VUE_KPI_FTTH!$A$7,"codeIndicateur","xix","unite","Dénominateur","maille","Maille OI (offres commercialisées sur le marché de gros activé)","type_valeur","Valeurs Brutes","OC","(vide)"),VUE_KPI_FTTH!A1)</f>
        <v>N/A</v>
      </c>
      <c r="G10" s="71" t="str">
        <f>IFERROR(GETPIVOTDATA("valeur",VUE_KPI_FTTH!$A$7,"codeIndicateur","xix","unite","Dénominateur","maille","Maille OI (offres commercialisées sur le marché de détail - Autofourniture)","type_valeur","Valeurs Nettes","OC","(vide)"),VUE_KPI_FTTH!A1)</f>
        <v>N/A</v>
      </c>
      <c r="H10" s="72" t="str">
        <f>IFERROR(GETPIVOTDATA("valeur",VUE_KPI_FTTH!$A$7,"codeIndicateur","xix","unite","Dénominateur","maille","Maille OI (offres commercialisées sur le marché de détail - Autofourniture)","type_valeur","Valeurs Brutes","OC","(vide)"),VUE_KPI_FTTH!A1)</f>
        <v>N/A</v>
      </c>
      <c r="I10" s="71" t="str">
        <f>IFERROR(GETPIVOTDATA("valeur",VUE_KPI_FTTH!$A$7,"codeIndicateur","xix","unite","Dénominateur","maille","Maille d'appréciation","type_valeur","Valeurs Nettes","OC","(vide)"),VUE_KPI_FTTH!A1)</f>
        <v>N/A</v>
      </c>
      <c r="J10" s="72" t="str">
        <f>IFERROR(GETPIVOTDATA("valeur",VUE_KPI_FTTH!$A$7,"codeIndicateur","xix","unite","Dénominateur","maille","Maille d'appréciation","type_valeur","Valeurs Brutes","OC","(vide)"),VUE_KPI_FTTH!A1)</f>
        <v>N/A</v>
      </c>
      <c r="K10" s="76" t="e">
        <f t="shared" ca="1" si="0"/>
        <v>#NAME?</v>
      </c>
    </row>
    <row r="11" spans="1:11" ht="30" customHeight="1" x14ac:dyDescent="0.25">
      <c r="A11" s="127"/>
      <c r="B11" s="5" t="s">
        <v>3</v>
      </c>
      <c r="C11" s="73" t="str">
        <f t="shared" ref="C11:J11" si="2">IF(OR(C10="",C10="N/A",C10="NC",C10="ND"),"",C9/C10)</f>
        <v/>
      </c>
      <c r="D11" s="73" t="str">
        <f t="shared" si="2"/>
        <v/>
      </c>
      <c r="E11" s="73" t="str">
        <f t="shared" si="2"/>
        <v/>
      </c>
      <c r="F11" s="73" t="str">
        <f t="shared" si="2"/>
        <v/>
      </c>
      <c r="G11" s="73" t="str">
        <f t="shared" si="2"/>
        <v/>
      </c>
      <c r="H11" s="73" t="str">
        <f t="shared" si="2"/>
        <v/>
      </c>
      <c r="I11" s="73" t="str">
        <f t="shared" si="2"/>
        <v/>
      </c>
      <c r="J11" s="73" t="str">
        <f t="shared" si="2"/>
        <v/>
      </c>
      <c r="K11" s="76" t="e">
        <f t="shared" ca="1" si="0"/>
        <v>#NAME?</v>
      </c>
    </row>
    <row r="12" spans="1:11" ht="30" customHeight="1" x14ac:dyDescent="0.25">
      <c r="A12" s="80" t="s">
        <v>27</v>
      </c>
      <c r="B12" s="5" t="s">
        <v>73</v>
      </c>
      <c r="C12" s="67" t="str">
        <f>IFERROR(GETPIVOTDATA("valeur",VUE_KPI_FTTH!$A$7,"codeIndicateur","xx","unite","Délai moyen","maille","Maille OI","type_valeur","Valeurs Nettes","OC","(vide)"),VUE_KPI_FTTH!A1)</f>
        <v>N/A</v>
      </c>
      <c r="D12" s="68" t="str">
        <f>IFERROR(GETPIVOTDATA("valeur",VUE_KPI_FTTH!$A$7,"codeIndicateur","xx","unite","Délai moyen","maille","Maille OI","type_valeur","Valeurs Brutes","OC","(vide)"),VUE_KPI_FTTH!A1)</f>
        <v>N/A</v>
      </c>
      <c r="E12" s="67" t="str">
        <f>IFERROR(GETPIVOTDATA("valeur",VUE_KPI_FTTH!$A$7,"codeIndicateur","xx","unite","Délai moyen","maille","Maille OI (offres commercialisées sur le marché de gros activé)","type_valeur","Valeurs Nettes","OC","(vide)"),VUE_KPI_FTTH!A1)</f>
        <v>N/A</v>
      </c>
      <c r="F12" s="68" t="str">
        <f>IFERROR(GETPIVOTDATA("valeur",VUE_KPI_FTTH!$A$7,"codeIndicateur","xx","unite","Délai moyen","maille","Maille OI (offres commercialisées sur le marché de gros activé)","type_valeur","Valeurs Brutes","OC","(vide)"),VUE_KPI_FTTH!A1)</f>
        <v>N/A</v>
      </c>
      <c r="G12" s="67" t="str">
        <f>IFERROR(GETPIVOTDATA("valeur",VUE_KPI_FTTH!$A$7,"codeIndicateur","xx","unite","Délai moyen","maille","Maille OI (offres commercialisées sur le marché de détail - Autofourniture)","type_valeur","Valeurs Nettes","OC","(vide)"),VUE_KPI_FTTH!A1)</f>
        <v>N/A</v>
      </c>
      <c r="H12" s="68" t="str">
        <f>IFERROR(GETPIVOTDATA("valeur",VUE_KPI_FTTH!$A$7,"codeIndicateur","xx","unite","Délai moyen","maille","Maille OI (offres commercialisées sur le marché de détail - Autofourniture)","type_valeur","Valeurs Brutes","OC","(vide)"),VUE_KPI_FTTH!A1)</f>
        <v>N/A</v>
      </c>
      <c r="I12" s="67" t="str">
        <f>IFERROR(GETPIVOTDATA("valeur",VUE_KPI_FTTH!$A$7,"codeIndicateur","xx","unite","Délai moyen","maille","Maille d'appréciation","type_valeur","Valeurs Nettes","OC","(vide)"),VUE_KPI_FTTH!A1)</f>
        <v>N/A</v>
      </c>
      <c r="J12" s="68" t="str">
        <f>IFERROR(GETPIVOTDATA("valeur",VUE_KPI_FTTH!$A$7,"codeIndicateur","xx","unite","Délai moyen","maille","Maille d'appréciation","type_valeur","Valeurs Brutes","OC","(vide)"),VUE_KPI_FTTH!A1)</f>
        <v>N/A</v>
      </c>
      <c r="K12" s="76" t="e">
        <f t="shared" ca="1" si="0"/>
        <v>#NAME?</v>
      </c>
    </row>
    <row r="13" spans="1:11" ht="30" customHeight="1" x14ac:dyDescent="0.25">
      <c r="A13" s="80" t="s">
        <v>28</v>
      </c>
      <c r="B13" s="5" t="s">
        <v>73</v>
      </c>
      <c r="C13" s="67">
        <f>IFERROR(GETPIVOTDATA("valeur",VUE_KPI_FTTH!$A$7,"codeIndicateur","xxv","unite","Délai moyen","maille","Maille OI","type_valeur","Valeurs Nettes","OC","(vide)"),VUE_KPI_FTTH!A1)</f>
        <v>41.883330000000001</v>
      </c>
      <c r="D13" s="67">
        <f>IFERROR(GETPIVOTDATA("valeur",VUE_KPI_FTTH!$A$7,"codeIndicateur","xxv","unite","Délai moyen","maille","Maille OI","type_valeur","Valeurs Brutes","OC","(vide)"),VUE_KPI_FTTH!A1)</f>
        <v>150.64167</v>
      </c>
      <c r="E13" s="67" t="str">
        <f>IFERROR(GETPIVOTDATA("valeur",VUE_KPI_FTTH!$A$7,"codeIndicateur","xxv","unite","Délai moyen","maille","Maille OI (offres commercialisées sur le marché de gros activé)","type_valeur","Valeurs Nettes","OC","(vide)"),VUE_KPI_FTTH!A1)</f>
        <v>N/A</v>
      </c>
      <c r="F13" s="67" t="str">
        <f>IFERROR(GETPIVOTDATA("valeur",VUE_KPI_FTTH!$A$7,"codeIndicateur","xxv","unite","Délai moyen","maille","Maille OI (offres commercialisées sur le marché de gros activé)","type_valeur","Valeurs Brutes","OC","(vide)"),VUE_KPI_FTTH!A1)</f>
        <v>N/A</v>
      </c>
      <c r="G13" s="67">
        <f>IFERROR(GETPIVOTDATA("valeur",VUE_KPI_FTTH!$A$7,"codeIndicateur","xxv","unite","Délai moyen","maille","Maille OI (offres commercialisées sur le marché de détail - Autofourniture)","type_valeur","Valeurs Nettes","OC","(vide)"),VUE_KPI_FTTH!A1)</f>
        <v>41.883330000000001</v>
      </c>
      <c r="H13" s="67">
        <f>IFERROR(GETPIVOTDATA("valeur",VUE_KPI_FTTH!$A$7,"codeIndicateur","xxv","unite","Délai moyen","maille","Maille OI (offres commercialisées sur le marché de détail - Autofourniture)","type_valeur","Valeurs Brutes","OC","(vide)"),VUE_KPI_FTTH!A1)</f>
        <v>150.64167</v>
      </c>
      <c r="I13" s="67" t="str">
        <f>IFERROR(GETPIVOTDATA("valeur",VUE_KPI_FTTH!$A$7,"codeIndicateur","xxv","unite","Délai moyen","maille","Maille d'appréciation","type_valeur","Valeurs Nettes","OC","(vide)"),VUE_KPI_FTTH!A1)</f>
        <v>N/A</v>
      </c>
      <c r="J13" s="67" t="str">
        <f>IFERROR(GETPIVOTDATA("valeur",VUE_KPI_FTTH!$A$7,"codeIndicateur","xxv","unite","Délai moyen","maille","Maille d'appréciation","type_valeur","Valeurs Brutes","OC","(vide)"),VUE_KPI_FTTH!A1)</f>
        <v>N/A</v>
      </c>
      <c r="K13" s="76" t="e">
        <f t="shared" ca="1" si="0"/>
        <v>#NAME?</v>
      </c>
    </row>
    <row r="14" spans="1:11" ht="30" customHeight="1" x14ac:dyDescent="0.25">
      <c r="A14" s="132" t="s">
        <v>29</v>
      </c>
      <c r="B14" s="5" t="s">
        <v>1</v>
      </c>
      <c r="C14" s="69" t="str">
        <f>IFERROR(GETPIVOTDATA("valeur",VUE_KPI_FTTH!$A$7,"codeIndicateur","xxi","unite","Numérateur","maille","Maille OI","type_valeur","Valeurs Nettes","OC","(vide)"),VUE_KPI_FTTH!A1)</f>
        <v>N/A</v>
      </c>
      <c r="D14" s="70" t="str">
        <f>IFERROR(GETPIVOTDATA("valeur",VUE_KPI_FTTH!$A$7,"codeIndicateur","xxi","unite","Numérateur","maille","Maille OI","type_valeur","Valeurs Brutes","OC","(vide)"),VUE_KPI_FTTH!A1)</f>
        <v>N/A</v>
      </c>
      <c r="E14" s="69" t="str">
        <f>IFERROR(GETPIVOTDATA("valeur",VUE_KPI_FTTH!$A$7,"codeIndicateur","xxi","unite","Numérateur","maille","Maille OI (offres commercialisées sur le marché de gros activé)","type_valeur","Valeurs Nettes","OC","(vide)"),VUE_KPI_FTTH!A1)</f>
        <v>N/A</v>
      </c>
      <c r="F14" s="70" t="str">
        <f>IFERROR(GETPIVOTDATA("valeur",VUE_KPI_FTTH!$A$7,"codeIndicateur","xxi","unite","Numérateur","maille","Maille OI (offres commercialisées sur le marché de gros activé)","type_valeur","Valeurs Brutes","OC","(vide)"),VUE_KPI_FTTH!A1)</f>
        <v>N/A</v>
      </c>
      <c r="G14" s="69" t="str">
        <f>IFERROR(GETPIVOTDATA("valeur",VUE_KPI_FTTH!$A$7,"codeIndicateur","xxi","unite","Numérateur","maille","Maille OI (offres commercialisées sur le marché de détail - Autofourniture)","type_valeur","Valeurs Nettes","OC","(vide)"),VUE_KPI_FTTH!A1)</f>
        <v>N/A</v>
      </c>
      <c r="H14" s="70" t="str">
        <f>IFERROR(GETPIVOTDATA("valeur",VUE_KPI_FTTH!$A$7,"codeIndicateur","xxi","unite","Numérateur","maille","Maille OI (offres commercialisées sur le marché de détail - Autofourniture)","type_valeur","Valeurs Brutes","OC","(vide)"),VUE_KPI_FTTH!A1)</f>
        <v>N/A</v>
      </c>
      <c r="I14" s="69" t="str">
        <f>IFERROR(GETPIVOTDATA("valeur",VUE_KPI_FTTH!$A$7,"codeIndicateur","xxi","unite","Numérateur","maille","Maille d'appréciation","type_valeur","Valeurs Nettes","OC","(vide)"),VUE_KPI_FTTH!A1)</f>
        <v>N/A</v>
      </c>
      <c r="J14" s="70" t="str">
        <f>IFERROR(GETPIVOTDATA("valeur",VUE_KPI_FTTH!$A$7,"codeIndicateur","xxi","unite","Numérateur","maille","Maille d'appréciation","type_valeur","Valeurs Brutes","OC","(vide)"),VUE_KPI_FTTH!A1)</f>
        <v>N/A</v>
      </c>
      <c r="K14" s="76" t="e">
        <f t="shared" ca="1" si="0"/>
        <v>#NAME?</v>
      </c>
    </row>
    <row r="15" spans="1:11" ht="30" customHeight="1" x14ac:dyDescent="0.25">
      <c r="A15" s="133"/>
      <c r="B15" s="5" t="s">
        <v>2</v>
      </c>
      <c r="C15" s="71" t="str">
        <f>IFERROR(GETPIVOTDATA("valeur",VUE_KPI_FTTH!$A$7,"codeIndicateur","xxi","unite","Dénominateur","maille","Maille OI","type_valeur","Valeurs Nettes","OC","(vide)"),VUE_KPI_FTTH!A1)</f>
        <v>N/A</v>
      </c>
      <c r="D15" s="72" t="str">
        <f>IFERROR(GETPIVOTDATA("valeur",VUE_KPI_FTTH!$A$7,"codeIndicateur","xxi","unite","Dénominateur","maille","Maille OI","type_valeur","Valeurs Brutes","OC","(vide)"),VUE_KPI_FTTH!A1)</f>
        <v>N/A</v>
      </c>
      <c r="E15" s="71" t="str">
        <f>IFERROR(GETPIVOTDATA("valeur",VUE_KPI_FTTH!$A$7,"codeIndicateur","xxi","unite","Dénominateur","maille","Maille OI (offres commercialisées sur le marché de gros activé)","type_valeur","Valeurs Nettes","OC","(vide)"),VUE_KPI_FTTH!A1)</f>
        <v>N/A</v>
      </c>
      <c r="F15" s="72" t="str">
        <f>IFERROR(GETPIVOTDATA("valeur",VUE_KPI_FTTH!$A$7,"codeIndicateur","xxi","unite","Dénominateur","maille","Maille OI (offres commercialisées sur le marché de gros activé)","type_valeur","Valeurs Brutes","OC","(vide)"),VUE_KPI_FTTH!A1)</f>
        <v>N/A</v>
      </c>
      <c r="G15" s="71" t="str">
        <f>IFERROR(GETPIVOTDATA("valeur",VUE_KPI_FTTH!$A$7,"codeIndicateur","xxi","unite","Dénominateur","maille","Maille OI (offres commercialisées sur le marché de détail - Autofourniture)","type_valeur","Valeurs Nettes","OC","(vide)"),VUE_KPI_FTTH!A1)</f>
        <v>N/A</v>
      </c>
      <c r="H15" s="72" t="str">
        <f>IFERROR(GETPIVOTDATA("valeur",VUE_KPI_FTTH!$A$7,"codeIndicateur","xxi","unite","Dénominateur","maille","Maille OI (offres commercialisées sur le marché de détail - Autofourniture)","type_valeur","Valeurs Brutes","OC","(vide)"),VUE_KPI_FTTH!A1)</f>
        <v>N/A</v>
      </c>
      <c r="I15" s="71" t="str">
        <f>IFERROR(GETPIVOTDATA("valeur",VUE_KPI_FTTH!$A$7,"codeIndicateur","xxi","unite","Dénominateur","maille","Maille d'appréciation","type_valeur","Valeurs Nettes","OC","(vide)"),VUE_KPI_FTTH!A1)</f>
        <v>N/A</v>
      </c>
      <c r="J15" s="72" t="str">
        <f>IFERROR(GETPIVOTDATA("valeur",VUE_KPI_FTTH!$A$7,"codeIndicateur","xxi","unite","Dénominateur","maille","Maille d'appréciation","type_valeur","Valeurs Brutes","OC","(vide)"),VUE_KPI_FTTH!A1)</f>
        <v>N/A</v>
      </c>
      <c r="K15" s="76" t="e">
        <f t="shared" ca="1" si="0"/>
        <v>#NAME?</v>
      </c>
    </row>
    <row r="16" spans="1:11" ht="30" customHeight="1" x14ac:dyDescent="0.25">
      <c r="A16" s="127"/>
      <c r="B16" s="5" t="s">
        <v>3</v>
      </c>
      <c r="C16" s="73" t="str">
        <f t="shared" ref="C16:J16" si="3">IF(OR(C15="",C15="N/A",C15="NC",C15="ND"),"",C14/C15)</f>
        <v/>
      </c>
      <c r="D16" s="73" t="str">
        <f t="shared" si="3"/>
        <v/>
      </c>
      <c r="E16" s="73" t="str">
        <f t="shared" si="3"/>
        <v/>
      </c>
      <c r="F16" s="73" t="str">
        <f t="shared" si="3"/>
        <v/>
      </c>
      <c r="G16" s="73" t="str">
        <f t="shared" si="3"/>
        <v/>
      </c>
      <c r="H16" s="73" t="str">
        <f t="shared" si="3"/>
        <v/>
      </c>
      <c r="I16" s="73" t="str">
        <f t="shared" si="3"/>
        <v/>
      </c>
      <c r="J16" s="73" t="str">
        <f t="shared" si="3"/>
        <v/>
      </c>
      <c r="K16" s="76" t="e">
        <f t="shared" ca="1" si="0"/>
        <v>#NAME?</v>
      </c>
    </row>
    <row r="17" spans="1:11" ht="30" customHeight="1" x14ac:dyDescent="0.25">
      <c r="A17" s="132" t="s">
        <v>30</v>
      </c>
      <c r="B17" s="8" t="s">
        <v>1</v>
      </c>
      <c r="C17" s="69">
        <f>IFERROR(GETPIVOTDATA("valeur",VUE_KPI_FTTH!$A$7,"codeIndicateur","xxvi","unite","Numérateur","maille","Maille OI","type_valeur","Valeurs Nettes","OC","(vide)"),VUE_KPI_FTTH!A1)</f>
        <v>327</v>
      </c>
      <c r="D17" s="70">
        <f>IFERROR(GETPIVOTDATA("valeur",VUE_KPI_FTTH!$A$7,"codeIndicateur","xxvi","unite","Numérateur","maille","Maille OI","type_valeur","Valeurs Brutes","OC","(vide)"),VUE_KPI_FTTH!A1)</f>
        <v>327</v>
      </c>
      <c r="E17" s="69" t="str">
        <f>IFERROR(GETPIVOTDATA("valeur",VUE_KPI_FTTH!$A$7,"codeIndicateur","xxvi","unite","Numérateur","maille","Maille OI (offres commercialisées sur le marché de gros activé)","type_valeur","Valeurs Nettes","OC","(vide)"),VUE_KPI_FTTH!A1)</f>
        <v>N/A</v>
      </c>
      <c r="F17" s="70" t="str">
        <f>IFERROR(GETPIVOTDATA("valeur",VUE_KPI_FTTH!$A$7,"codeIndicateur","xxvi","unite","Numérateur","maille","Maille OI (offres commercialisées sur le marché de gros activé)","type_valeur","Valeurs Brutes","OC","(vide)"),VUE_KPI_FTTH!A1)</f>
        <v>N/A</v>
      </c>
      <c r="G17" s="69">
        <f>IFERROR(GETPIVOTDATA("valeur",VUE_KPI_FTTH!$A$7,"codeIndicateur","xxvi","unite","Numérateur","maille","Maille OI (offres commercialisées sur le marché de détail - Autofourniture)","type_valeur","Valeurs Nettes","OC","(vide)"),VUE_KPI_FTTH!A1)</f>
        <v>327</v>
      </c>
      <c r="H17" s="70">
        <f>IFERROR(GETPIVOTDATA("valeur",VUE_KPI_FTTH!$A$7,"codeIndicateur","xxvi","unite","Numérateur","maille","Maille OI (offres commercialisées sur le marché de détail - Autofourniture)","type_valeur","Valeurs Brutes","OC","(vide)"),VUE_KPI_FTTH!A1)</f>
        <v>327</v>
      </c>
      <c r="I17" s="69" t="str">
        <f>IFERROR(GETPIVOTDATA("valeur",VUE_KPI_FTTH!$A$7,"codeIndicateur","xxvi","unite","Numérateur","maille","Maille d'appréciation","type_valeur","Valeurs Nettes","OC","(vide)"),VUE_KPI_FTTH!A1)</f>
        <v>N/A</v>
      </c>
      <c r="J17" s="70" t="str">
        <f>IFERROR(GETPIVOTDATA("valeur",VUE_KPI_FTTH!$A$7,"codeIndicateur","xxvi","unite","Numérateur","maille","Maille d'appréciation","type_valeur","Valeurs Brutes","OC","(vide)"),VUE_KPI_FTTH!A1)</f>
        <v>N/A</v>
      </c>
      <c r="K17" s="76" t="e">
        <f t="shared" ca="1" si="0"/>
        <v>#NAME?</v>
      </c>
    </row>
    <row r="18" spans="1:11" ht="30" customHeight="1" x14ac:dyDescent="0.25">
      <c r="A18" s="133"/>
      <c r="B18" s="5" t="s">
        <v>2</v>
      </c>
      <c r="C18" s="71">
        <f>IFERROR(GETPIVOTDATA("valeur",VUE_KPI_FTTH!$A$7,"codeIndicateur","xxvi","unite","Dénominateur","maille","Maille OI","type_valeur","Valeurs Nettes","OC","(vide)"),VUE_KPI_FTTH!A1)</f>
        <v>330</v>
      </c>
      <c r="D18" s="72">
        <f>IFERROR(GETPIVOTDATA("valeur",VUE_KPI_FTTH!$A$7,"codeIndicateur","xxvi","unite","Dénominateur","maille","Maille OI","type_valeur","Valeurs Brutes","OC","(vide)"),VUE_KPI_FTTH!A1)</f>
        <v>330</v>
      </c>
      <c r="E18" s="71" t="str">
        <f>IFERROR(GETPIVOTDATA("valeur",VUE_KPI_FTTH!$A$7,"codeIndicateur","xxvi","unite","Dénominateur","maille","Maille OI (offres commercialisées sur le marché de gros activé)","type_valeur","Valeurs Nettes","OC","(vide)"),VUE_KPI_FTTH!A1)</f>
        <v>N/A</v>
      </c>
      <c r="F18" s="72" t="str">
        <f>IFERROR(GETPIVOTDATA("valeur",VUE_KPI_FTTH!$A$7,"codeIndicateur","xxvi","unite","Dénominateur","maille","Maille OI (offres commercialisées sur le marché de gros activé)","type_valeur","Valeurs Brutes","OC","(vide)"),VUE_KPI_FTTH!A1)</f>
        <v>N/A</v>
      </c>
      <c r="G18" s="71">
        <f>IFERROR(GETPIVOTDATA("valeur",VUE_KPI_FTTH!$A$7,"codeIndicateur","xxvi","unite","Dénominateur","maille","Maille OI (offres commercialisées sur le marché de détail - Autofourniture)","type_valeur","Valeurs Nettes","OC","(vide)"),VUE_KPI_FTTH!A1)</f>
        <v>330</v>
      </c>
      <c r="H18" s="72">
        <f>IFERROR(GETPIVOTDATA("valeur",VUE_KPI_FTTH!$A$7,"codeIndicateur","xxvi","unite","Dénominateur","maille","Maille OI (offres commercialisées sur le marché de détail - Autofourniture)","type_valeur","Valeurs Brutes","OC","(vide)"),VUE_KPI_FTTH!A1)</f>
        <v>330</v>
      </c>
      <c r="I18" s="71" t="str">
        <f>IFERROR(GETPIVOTDATA("valeur",VUE_KPI_FTTH!$A$7,"codeIndicateur","xxvi","unite","Dénominateur","maille","Maille d'appréciation","type_valeur","Valeurs Nettes","OC","(vide)"),VUE_KPI_FTTH!A1)</f>
        <v>N/A</v>
      </c>
      <c r="J18" s="72" t="str">
        <f>IFERROR(GETPIVOTDATA("valeur",VUE_KPI_FTTH!$A$7,"codeIndicateur","xxvi","unite","Dénominateur","maille","Maille d'appréciation","type_valeur","Valeurs Brutes","OC","(vide)"),VUE_KPI_FTTH!A1)</f>
        <v>N/A</v>
      </c>
      <c r="K18" s="76" t="e">
        <f t="shared" ca="1" si="0"/>
        <v>#NAME?</v>
      </c>
    </row>
    <row r="19" spans="1:11" ht="30" customHeight="1" x14ac:dyDescent="0.25">
      <c r="A19" s="127"/>
      <c r="B19" s="5" t="s">
        <v>3</v>
      </c>
      <c r="C19" s="73">
        <f t="shared" ref="C19:J19" si="4">IF(OR(C18="",C18="N/A",C18="NC",C18="ND"),"",C17/C18)</f>
        <v>0.99090909090909096</v>
      </c>
      <c r="D19" s="73">
        <f t="shared" si="4"/>
        <v>0.99090909090909096</v>
      </c>
      <c r="E19" s="73" t="str">
        <f t="shared" si="4"/>
        <v/>
      </c>
      <c r="F19" s="73" t="str">
        <f t="shared" si="4"/>
        <v/>
      </c>
      <c r="G19" s="73">
        <f t="shared" si="4"/>
        <v>0.99090909090909096</v>
      </c>
      <c r="H19" s="73">
        <f t="shared" si="4"/>
        <v>0.99090909090909096</v>
      </c>
      <c r="I19" s="73" t="str">
        <f t="shared" si="4"/>
        <v/>
      </c>
      <c r="J19" s="73" t="str">
        <f t="shared" si="4"/>
        <v/>
      </c>
      <c r="K19" s="76" t="e">
        <f t="shared" ca="1" si="0"/>
        <v>#NAME?</v>
      </c>
    </row>
    <row r="20" spans="1:11" ht="30" customHeight="1" x14ac:dyDescent="0.25">
      <c r="A20" s="132" t="s">
        <v>31</v>
      </c>
      <c r="B20" s="8" t="s">
        <v>1</v>
      </c>
      <c r="C20" s="69">
        <f>IFERROR(GETPIVOTDATA("valeur",VUE_KPI_FTTH!$A$7,"codeIndicateur","xxii","unite","Numérateur","maille","Maille OI","type_valeur","Valeurs Nettes","OC","(vide)"),VUE_KPI_FTTH!A2)</f>
        <v>0</v>
      </c>
      <c r="D20" s="70">
        <f>IFERROR(GETPIVOTDATA("valeur",VUE_KPI_FTTH!$A$7,"codeIndicateur","xxii","unite","Numérateur","maille","Maille OI","type_valeur","Valeurs Brutes","OC","(vide)"),VUE_KPI_FTTH!A2)</f>
        <v>0</v>
      </c>
      <c r="E20" s="69">
        <f>IFERROR(GETPIVOTDATA("valeur",VUE_KPI_FTTH!$A$7,"codeIndicateur","xxii","unite","Numérateur","maille","Maille OI (offres commercialisées sur le marché de gros activé)","type_valeur","Valeurs Nettes","OC","(vide)"),VUE_KPI_FTTH!A2)</f>
        <v>0</v>
      </c>
      <c r="F20" s="70">
        <f>IFERROR(GETPIVOTDATA("valeur",VUE_KPI_FTTH!$A$7,"codeIndicateur","xxii","unite","Numérateur","maille","Maille OI (offres commercialisées sur le marché de gros activé)","type_valeur","Valeurs Brutes","OC","(vide)"),VUE_KPI_FTTH!A2)</f>
        <v>0</v>
      </c>
      <c r="G20" s="69" t="str">
        <f>IFERROR(GETPIVOTDATA("valeur",VUE_KPI_FTTH!$A$7,"codeIndicateur","xxii","unite","Numérateur","maille","Maille OI (offres commercialisées sur le marché de détail - Autofourniture)","type_valeur","Valeurs Nettes","OC","(vide)"),VUE_KPI_FTTH!A1)</f>
        <v>N/A</v>
      </c>
      <c r="H20" s="70" t="str">
        <f>IFERROR(GETPIVOTDATA("valeur",VUE_KPI_FTTH!$A$7,"codeIndicateur","xxii","unite","Numérateur","maille","Maille OI (offres commercialisées sur le marché de détail - Autofourniture)","type_valeur","Valeurs Brutes","OC","(vide)"),VUE_KPI_FTTH!A1)</f>
        <v>N/A</v>
      </c>
      <c r="I20" s="69" t="str">
        <f>IFERROR(GETPIVOTDATA("valeur",VUE_KPI_FTTH!$A$7,"codeIndicateur","xxii","unite","Numérateur","maille","Maille d'appréciation","type_valeur","Valeurs Nettes","OC","(vide)"),VUE_KPI_FTTH!A1)</f>
        <v>N/A</v>
      </c>
      <c r="J20" s="70" t="str">
        <f>IFERROR(GETPIVOTDATA("valeur",VUE_KPI_FTTH!$A$7,"codeIndicateur","xxii","unite","Numérateur","maille","Maille d'appréciation","type_valeur","Valeurs Brutes","OC","(vide)"),VUE_KPI_FTTH!A1)</f>
        <v>N/A</v>
      </c>
      <c r="K20" s="76" t="e">
        <f t="shared" ca="1" si="0"/>
        <v>#NAME?</v>
      </c>
    </row>
    <row r="21" spans="1:11" ht="30" customHeight="1" x14ac:dyDescent="0.25">
      <c r="A21" s="133"/>
      <c r="B21" s="5" t="s">
        <v>2</v>
      </c>
      <c r="C21" s="71" t="str">
        <f>IFERROR(GETPIVOTDATA("valeur",VUE_KPI_FTTH!$A$7,"codeIndicateur","xxii","unite","Dénominateur","maille","Maille OI","type_valeur","Valeurs Nettes","OC","(vide)"),VUE_KPI_FTTH!A1)</f>
        <v>N/A</v>
      </c>
      <c r="D21" s="72" t="str">
        <f>IFERROR(GETPIVOTDATA("valeur",VUE_KPI_FTTH!$A$7,"codeIndicateur","xxii","unite","Dénominateur","maille","Maille OI","type_valeur","Valeurs Brutes","OC","(vide)"),VUE_KPI_FTTH!A1)</f>
        <v>N/A</v>
      </c>
      <c r="E21" s="71" t="str">
        <f>IFERROR(GETPIVOTDATA("valeur",VUE_KPI_FTTH!$A$7,"codeIndicateur","xxii","unite","Dénominateur","maille","Maille OI (offres commercialisées sur le marché de gros activé)","type_valeur","Valeurs Nettes","OC","(vide)"),VUE_KPI_FTTH!A1)</f>
        <v>N/A</v>
      </c>
      <c r="F21" s="72" t="str">
        <f>IFERROR(GETPIVOTDATA("valeur",VUE_KPI_FTTH!$A$7,"codeIndicateur","xxii","unite","Dénominateur","maille","Maille OI (offres commercialisées sur le marché de gros activé)","type_valeur","Valeurs Brutes","OC","(vide)"),VUE_KPI_FTTH!A1)</f>
        <v>N/A</v>
      </c>
      <c r="G21" s="71" t="str">
        <f>IFERROR(GETPIVOTDATA("valeur",VUE_KPI_FTTH!$A$7,"codeIndicateur","xxii","unite","Dénominateur","maille","Maille OI (offres commercialisées sur le marché de détail - Autofourniture)","type_valeur","Valeurs Nettes","OC","(vide)"),VUE_KPI_FTTH!A1)</f>
        <v>N/A</v>
      </c>
      <c r="H21" s="72" t="str">
        <f>IFERROR(GETPIVOTDATA("valeur",VUE_KPI_FTTH!$A$7,"codeIndicateur","xxii","unite","Dénominateur","maille","Maille OI (offres commercialisées sur le marché de détail - Autofourniture)","type_valeur","Valeurs Brutes","OC","(vide)"),VUE_KPI_FTTH!A1)</f>
        <v>N/A</v>
      </c>
      <c r="I21" s="71" t="str">
        <f>IFERROR(GETPIVOTDATA("valeur",VUE_KPI_FTTH!$A$7,"codeIndicateur","xxii","unite","Dénominateur","maille","Maille d'appréciation","type_valeur","Valeurs Nettes","OC","(vide)"),VUE_KPI_FTTH!A1)</f>
        <v>N/A</v>
      </c>
      <c r="J21" s="72" t="str">
        <f>IFERROR(GETPIVOTDATA("valeur",VUE_KPI_FTTH!$A$7,"codeIndicateur","xxii","unite","Dénominateur","maille","Maille d'appréciation","type_valeur","Valeurs Brutes","OC","(vide)"),VUE_KPI_FTTH!A1)</f>
        <v>N/A</v>
      </c>
      <c r="K21" s="76" t="e">
        <f t="shared" ca="1" si="0"/>
        <v>#NAME?</v>
      </c>
    </row>
    <row r="22" spans="1:11" ht="30" customHeight="1" x14ac:dyDescent="0.25">
      <c r="A22" s="127"/>
      <c r="B22" s="5" t="s">
        <v>3</v>
      </c>
      <c r="C22" s="73" t="str">
        <f t="shared" ref="C22:J22" si="5">IF(OR(C21="",C21="N/A",C21="NC",C21="ND"),"",C20/C21)</f>
        <v/>
      </c>
      <c r="D22" s="73" t="str">
        <f t="shared" si="5"/>
        <v/>
      </c>
      <c r="E22" s="73" t="str">
        <f t="shared" si="5"/>
        <v/>
      </c>
      <c r="F22" s="73" t="str">
        <f t="shared" si="5"/>
        <v/>
      </c>
      <c r="G22" s="73" t="str">
        <f t="shared" si="5"/>
        <v/>
      </c>
      <c r="H22" s="73" t="str">
        <f t="shared" si="5"/>
        <v/>
      </c>
      <c r="I22" s="73" t="str">
        <f t="shared" si="5"/>
        <v/>
      </c>
      <c r="J22" s="73" t="str">
        <f t="shared" si="5"/>
        <v/>
      </c>
      <c r="K22" s="76" t="e">
        <f t="shared" ca="1" si="0"/>
        <v>#NAME?</v>
      </c>
    </row>
    <row r="23" spans="1:11" ht="30" customHeight="1" x14ac:dyDescent="0.25">
      <c r="A23" s="132" t="s">
        <v>32</v>
      </c>
      <c r="B23" s="8" t="s">
        <v>1</v>
      </c>
      <c r="C23" s="69">
        <f>IFERROR(GETPIVOTDATA("valeur",VUE_KPI_FTTH!$A$7,"codeIndicateur","xxvii","unite","Numérateur","maille","Maille OI","type_valeur","Valeurs Nettes","OC","(vide)"),VUE_KPI_FTTH!A1)</f>
        <v>74.866669999999999</v>
      </c>
      <c r="D23" s="70">
        <f>IFERROR(GETPIVOTDATA("valeur",VUE_KPI_FTTH!$A$7,"codeIndicateur","xxvii","unite","Numérateur","maille","Maille OI","type_valeur","Valeurs Brutes","OC","(vide)"),VUE_KPI_FTTH!A1)</f>
        <v>74.866669999999999</v>
      </c>
      <c r="E23" s="69" t="str">
        <f>IFERROR(GETPIVOTDATA("valeur",VUE_KPI_FTTH!$A$7,"codeIndicateur","xxvii","unite","Numérateur","maille","Maille OI (offres commercialisées sur le marché de gros activé)","type_valeur","Valeurs Nettes","OC","(vide)"),VUE_KPI_FTTH!A1)</f>
        <v>N/A</v>
      </c>
      <c r="F23" s="70" t="str">
        <f>IFERROR(GETPIVOTDATA("valeur",VUE_KPI_FTTH!$A$7,"codeIndicateur","xxvii","unite","Numérateur","maille","Maille OI (offres commercialisées sur le marché de gros activé)","type_valeur","Valeurs Brutes","OC","(vide)"),VUE_KPI_FTTH!A1)</f>
        <v>N/A</v>
      </c>
      <c r="G23" s="69" t="str">
        <f>IFERROR(GETPIVOTDATA("valeur",VUE_KPI_FTTH!$A$7,"codeIndicateur","xxvii","unite","Numérateur","maille","Maille OI (offres commercialisées sur le marché de détail - Autofourniture)","type_valeur","Valeurs Nettes","OC","(vide)"),VUE_KPI_FTTH!A1)</f>
        <v>N/A</v>
      </c>
      <c r="H23" s="70" t="str">
        <f>IFERROR(GETPIVOTDATA("valeur",VUE_KPI_FTTH!$A$7,"codeIndicateur","xxvii","unite","Numérateur","maille","Maille OI (offres commercialisées sur le marché de détail - Autofourniture)","type_valeur","Valeurs Brutes","OC","(vide)"),VUE_KPI_FTTH!A1)</f>
        <v>N/A</v>
      </c>
      <c r="I23" s="69" t="str">
        <f>IFERROR(GETPIVOTDATA("valeur",VUE_KPI_FTTH!$A$7,"codeIndicateur","xxvii","unite","Numérateur","maille","Maille d'appréciation","type_valeur","Valeurs Nettes","OC","(vide)"),VUE_KPI_FTTH!A1)</f>
        <v>N/A</v>
      </c>
      <c r="J23" s="70" t="str">
        <f>IFERROR(GETPIVOTDATA("valeur",VUE_KPI_FTTH!$A$7,"codeIndicateur","xxvii","unite","Numérateur","maille","Maille d'appréciation","type_valeur","Valeurs Brutes","OC","(vide)"),VUE_KPI_FTTH!A1)</f>
        <v>N/A</v>
      </c>
      <c r="K23" s="76" t="e">
        <f t="shared" ca="1" si="0"/>
        <v>#NAME?</v>
      </c>
    </row>
    <row r="24" spans="1:11" ht="30" customHeight="1" x14ac:dyDescent="0.25">
      <c r="A24" s="133"/>
      <c r="B24" s="5" t="s">
        <v>2</v>
      </c>
      <c r="C24" s="71">
        <f>IFERROR(GETPIVOTDATA("valeur",VUE_KPI_FTTH!$A$7,"codeIndicateur","xxvii","unite","Dénominateur","maille","Maille OI","type_valeur","Valeurs Nettes","OC","(vide)"),VUE_KPI_FTTH!A1)</f>
        <v>1685686.8</v>
      </c>
      <c r="D24" s="72">
        <f>IFERROR(GETPIVOTDATA("valeur",VUE_KPI_FTTH!$A$7,"codeIndicateur","xxvii","unite","Dénominateur","maille","Maille OI","type_valeur","Valeurs Brutes","OC","(vide)"),VUE_KPI_FTTH!A1)</f>
        <v>1685686.8</v>
      </c>
      <c r="E24" s="71" t="str">
        <f>IFERROR(GETPIVOTDATA("valeur",VUE_KPI_FTTH!$A$7,"codeIndicateur","xxvii","unite","Dénominateur","maille","Maille OI (offres commercialisées sur le marché de gros activé)","type_valeur","Valeurs Nettes","OC","(vide)"),VUE_KPI_FTTH!A1)</f>
        <v>N/A</v>
      </c>
      <c r="F24" s="72" t="str">
        <f>IFERROR(GETPIVOTDATA("valeur",VUE_KPI_FTTH!$A$7,"codeIndicateur","xxvii","unite","Dénominateur","maille","Maille OI (offres commercialisées sur le marché de gros activé)","type_valeur","Valeurs Brutes","OC","(vide)"),VUE_KPI_FTTH!A1)</f>
        <v>N/A</v>
      </c>
      <c r="G24" s="71">
        <f>IFERROR(GETPIVOTDATA("valeur",VUE_KPI_FTTH!$A$7,"codeIndicateur","xxvii","unite","Dénominateur","maille","Maille OI (offres commercialisées sur le marché de détail - Autofourniture)","type_valeur","Valeurs Nettes","OC","(vide)"),VUE_KPI_FTTH!A1)</f>
        <v>1685686.8</v>
      </c>
      <c r="H24" s="72">
        <f>IFERROR(GETPIVOTDATA("valeur",VUE_KPI_FTTH!$A$7,"codeIndicateur","xxvii","unite","Dénominateur","maille","Maille OI (offres commercialisées sur le marché de détail - Autofourniture)","type_valeur","Valeurs Brutes","OC","(vide)"),VUE_KPI_FTTH!A1)</f>
        <v>1685686.8</v>
      </c>
      <c r="I24" s="71" t="str">
        <f>IFERROR(GETPIVOTDATA("valeur",VUE_KPI_FTTH!$A$7,"codeIndicateur","xxvii","unite","Dénominateur","maille","Maille d'appréciation","type_valeur","Valeurs Nettes","OC","(vide)"),VUE_KPI_FTTH!A1)</f>
        <v>N/A</v>
      </c>
      <c r="J24" s="72" t="str">
        <f>IFERROR(GETPIVOTDATA("valeur",VUE_KPI_FTTH!$A$7,"codeIndicateur","xxvii","unite","Dénominateur","maille","Maille d'appréciation","type_valeur","Valeurs Brutes","OC","(vide)"),VUE_KPI_FTTH!A1)</f>
        <v>N/A</v>
      </c>
      <c r="K24" s="76" t="e">
        <f t="shared" ca="1" si="0"/>
        <v>#NAME?</v>
      </c>
    </row>
    <row r="25" spans="1:11" ht="30" customHeight="1" x14ac:dyDescent="0.25">
      <c r="A25" s="127"/>
      <c r="B25" s="5" t="s">
        <v>3</v>
      </c>
      <c r="C25" s="73">
        <f t="shared" ref="C25:J25" si="6">IF(OR(C24="",C24="N/A",C24="NC",C24="ND"),"",C23/C24)</f>
        <v>4.4413155516196719E-5</v>
      </c>
      <c r="D25" s="73">
        <f t="shared" si="6"/>
        <v>4.4413155516196719E-5</v>
      </c>
      <c r="E25" s="73" t="str">
        <f t="shared" si="6"/>
        <v/>
      </c>
      <c r="F25" s="73" t="str">
        <f t="shared" si="6"/>
        <v/>
      </c>
      <c r="G25" s="73" t="e">
        <f t="shared" si="6"/>
        <v>#VALUE!</v>
      </c>
      <c r="H25" s="73" t="e">
        <f t="shared" si="6"/>
        <v>#VALUE!</v>
      </c>
      <c r="I25" s="73" t="str">
        <f t="shared" si="6"/>
        <v/>
      </c>
      <c r="J25" s="73" t="str">
        <f t="shared" si="6"/>
        <v/>
      </c>
      <c r="K25" s="76" t="e">
        <f t="shared" ca="1" si="0"/>
        <v>#NAME?</v>
      </c>
    </row>
  </sheetData>
  <sheetProtection sheet="1" objects="1" scenarios="1" selectLockedCells="1"/>
  <mergeCells count="12">
    <mergeCell ref="A23:A25"/>
    <mergeCell ref="A17:A19"/>
    <mergeCell ref="A20:A22"/>
    <mergeCell ref="A14:A16"/>
    <mergeCell ref="A8:J8"/>
    <mergeCell ref="A9:A11"/>
    <mergeCell ref="A4:A6"/>
    <mergeCell ref="C1:D1"/>
    <mergeCell ref="E1:F1"/>
    <mergeCell ref="G1:H1"/>
    <mergeCell ref="I1:J1"/>
    <mergeCell ref="A3:J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0"/>
  <sheetViews>
    <sheetView showGridLines="0" topLeftCell="A29" zoomScale="80" zoomScaleNormal="80" workbookViewId="0">
      <selection activeCell="H37" sqref="H37"/>
    </sheetView>
  </sheetViews>
  <sheetFormatPr baseColWidth="10" defaultColWidth="11.5703125" defaultRowHeight="15" x14ac:dyDescent="0.25"/>
  <cols>
    <col min="1" max="1" width="60.7109375" style="25" customWidth="1"/>
    <col min="2" max="2" width="10.7109375" style="25" customWidth="1"/>
    <col min="3" max="8" width="15.7109375" style="25" customWidth="1"/>
    <col min="9" max="9" width="11.7109375" style="87" customWidth="1"/>
    <col min="10" max="16384" width="11.5703125" style="25"/>
  </cols>
  <sheetData>
    <row r="1" spans="1:9" ht="40.15" customHeight="1" x14ac:dyDescent="0.25">
      <c r="A1" s="4"/>
      <c r="B1" s="4"/>
      <c r="C1" s="126" t="s">
        <v>0</v>
      </c>
      <c r="D1" s="126"/>
      <c r="E1" s="126" t="s">
        <v>69</v>
      </c>
      <c r="F1" s="126"/>
      <c r="G1" s="126" t="s">
        <v>70</v>
      </c>
      <c r="H1" s="126"/>
    </row>
    <row r="2" spans="1:9" ht="19.899999999999999" customHeight="1" x14ac:dyDescent="0.25">
      <c r="A2" s="4"/>
      <c r="B2" s="4"/>
      <c r="C2" s="7" t="s">
        <v>68</v>
      </c>
      <c r="D2" s="7" t="s">
        <v>65</v>
      </c>
      <c r="E2" s="7" t="s">
        <v>68</v>
      </c>
      <c r="F2" s="7" t="s">
        <v>65</v>
      </c>
      <c r="G2" s="7" t="s">
        <v>68</v>
      </c>
      <c r="H2" s="7" t="s">
        <v>65</v>
      </c>
    </row>
    <row r="3" spans="1:9" ht="19.899999999999999" customHeight="1" x14ac:dyDescent="0.25">
      <c r="A3" s="129" t="s">
        <v>4</v>
      </c>
      <c r="B3" s="130"/>
      <c r="C3" s="130"/>
      <c r="D3" s="130"/>
      <c r="E3" s="130"/>
      <c r="F3" s="130"/>
      <c r="G3" s="130"/>
      <c r="H3" s="131"/>
    </row>
    <row r="4" spans="1:9" ht="30" customHeight="1" x14ac:dyDescent="0.25">
      <c r="A4" s="132" t="s">
        <v>42</v>
      </c>
      <c r="B4" s="8" t="s">
        <v>1</v>
      </c>
      <c r="C4" s="69" t="str">
        <f>IFERROR(GETPIVOTDATA("valeur",VUE_KPI_FTTH!$A$7,"codeIndicateur","xxviii","unite","Numérateur","maille","Maille OI","type_valeur","Valeurs Nettes","OC","(vide)"),VUE_KPI_FTTH!A1)</f>
        <v>N/A</v>
      </c>
      <c r="D4" s="70">
        <f>IFERROR(GETPIVOTDATA("valeur",VUE_KPI_FTTH!$A$7,"codeIndicateur","xxviii","unite","Numérateur","maille","Maille OI","type_valeur","Valeurs Brutes","OC","(vide)"),VUE_KPI_FTTH!A2)</f>
        <v>0</v>
      </c>
      <c r="E4" s="69" t="str">
        <f>IFERROR(GETPIVOTDATA("valeur",VUE_KPI_FTTH!$A$7,"codeIndicateur","xxviii","unite","Numérateur","maille","Maille OI (offres commercialisées sur le marché de gros activé)","type_valeur","Valeurs Nettes","OC","(vide)"),VUE_KPI_FTTH!A1)</f>
        <v>N/A</v>
      </c>
      <c r="F4" s="70">
        <f>IFERROR(GETPIVOTDATA("valeur",VUE_KPI_FTTH!$A$7,"codeIndicateur","xxviii","unite","Numérateur","maille","Maille OI (offres commercialisées sur le marché de gros activé)","type_valeur","Valeurs Brutes","OC","(vide)"),VUE_KPI_FTTH!A2)</f>
        <v>0</v>
      </c>
      <c r="G4" s="69" t="str">
        <f>IFERROR(GETPIVOTDATA("valeur",VUE_KPI_FTTH!$A$7,"codeIndicateur","xxviii","unite","Numérateur","maille","Maille OI (offres commercialisées sur le marché de détail - Autofourniture)","type_valeur","Valeurs Nettes","OC","(vide)"),VUE_KPI_FTTH!A1)</f>
        <v>N/A</v>
      </c>
      <c r="H4" s="70">
        <f>IFERROR(GETPIVOTDATA("valeur",VUE_KPI_FTTH!$A$7,"codeIndicateur","xxviii","unite","Numérateur","maille","Maille OI (offres commercialisées sur le marché de détail - Autofourniture)","type_valeur","Valeurs Brutes","OC","(vide)"),VUE_KPI_FTTH!A2)</f>
        <v>0</v>
      </c>
      <c r="I4" s="79" t="e">
        <f ca="1" xml:space="preserve">
_xlfn.IFS(
  OR(B4="Taux",B4=""), "",
  NOT(AND(
    OR(ISBLANK(C4),ISNUMBER(C4)),
    OR(ISBLANK(D4),ISNUMBER(D4)),
    OR(ISBLANK(E4),ISNUMBER(E4)),
    OR(ISBLANK(F4),ISNUMBER(F4)),
    OR(ISBLANK(G4),ISNUMBER(G4)),
    OR(ISBLANK(H4),ISNUMBER(H4)),
    IF(I$1="",TRUE,OR(ISBLANK(I4),ISNUMBER(I4))),
    IF(I$1="",TRUE,OR(ISBLANK(J4),ISNUMBER(J4))),
    IF(K$1="",TRUE,OR(ISBLANK(K4),ISNUMBER(K4))),
    IF(K$1="",TRUE,OR(ISBLANK(L4),ISNUMBER(L4)))
  )),
  "Nombres attendus !",
  AND( OR(B4="Numérateur",B4="Dénominateur"),
    NOT(AND(
      OR(ISBLANK(C4),C4=ROUND(C4,0)),
      OR(ISBLANK(D4),D4=ROUND(D4,0)),
      OR(ISBLANK(E4),E4=ROUND(E4,0)),
      OR(ISBLANK(F4),F4=ROUND(F4,0)),
      OR(ISBLANK(G4),G4=ROUND(G4,0)),
      OR(ISBLANK(H4),H4=ROUND(H4,0)),
      IF(I$1="",TRUE,OR(ISBLANK(I4),I4=ROUND(I4,0))),
      IF(I$1="",TRUE,OR(ISBLANK(J4),J4=ROUND(J4,0))),
      IF(K$1="",TRUE,OR(ISBLANK(K4),K4=ROUND(K4,0))),
      IF(K$1="",TRUE,OR(ISBLANK(L4),L4=ROUND(L4,0)))
    ))
  ),
  "Entiers attendus !",
  AND(B4="%",
  NOT(AND(
    OR(ISBLANK(C4),C4=ROUND(C4,4)),
    OR(ISBLANK(D4),D4=ROUND(D4,4)),
    OR(ISBLANK(E4),E4=ROUND(E4,4)),
    OR(ISBLANK(F4),F4=ROUND(F4,4)),
    OR(ISBLANK(G4),G4=ROUND(G4,4)),
    OR(ISBLANK(H4),H4=ROUND(H4,4)),
    IF(I$1="",TRUE,OR(ISBLANK(I4),I4=ROUND(I4,4))),
    IF(I$1="",TRUE,OR(ISBLANK(J4),J4=ROUND(J4,4))),
    IF(K$1="",TRUE,OR(ISBLANK(K4),K4=ROUND(K4,4))),
    IF(K$1="",TRUE,OR(ISBLANK(L4),L4=ROUND(L4,4)))
  ))),
  "Précision pourcentage supérieure à 2 décimales",
  AND(B4&lt;&gt;"Numérateur",B4&lt;&gt;"Dénominateur",B4&lt;&gt;"%",
  NOT(AND(
    OR(ISBLANK(C4),C4=ROUND(C4,2)),
    OR(ISBLANK(D4),D4=ROUND(D4,2)),
    OR(ISBLANK(E4),E4=ROUND(E4,2)),
    OR(ISBLANK(F4),F4=ROUND(F4,2)),
    OR(ISBLANK(G4),G4=ROUND(G4,2)),
    OR(ISBLANK(H4),H4=ROUND(H4,2)),
    IF(I$1="",TRUE,OR(ISBLANK(I4),I4=ROUND(I4,2))),
    IF(I$1="",TRUE,OR(ISBLANK(J4),J4=ROUND(J4,2))),
    IF(K$1="",TRUE,OR(ISBLANK(K4),K4=ROUND(K4,2))),
    IF(K$1="",TRUE,OR(ISBLANK(L4),L4=ROUND(L4,2)))
  ))),
  "Précision supérieure à 2 décimales",
  IF(I$1="",MIN(C4:H4),IF(K$1="",MIN(C4:J4),MIN(C4:L4)))&lt;0, "Nombres positifs attendus !",
  AND(B4="Dénominateur",
  NOT(AND(
    OR(ISBLANK(C4),C4&gt;0),
    OR(ISBLANK(D4),D4&gt;0),
    OR(ISBLANK(E4),E4&gt;0),
    OR(ISBLANK(F4),F4&gt;0),
    OR(ISBLANK(G4),G4&gt;0),
    OR(ISBLANK(H4),H4&gt;0),
    IF(I$1="",TRUE,OR(ISBLANK(I4),I4&gt;0)),
    IF(I$1="",TRUE,OR(ISBLANK(J4),J4&gt;0)),
    IF(K$1="",TRUE,OR(ISBLANK(K4),K4&gt;0)),
    IF(K$1="",TRUE,OR(ISBLANK(L4),L4&gt;0))
  ))),
  "Nombres strictement positifs attendus !",
  IF(B4="Dénominateur",
  NOT(AND(
    OR(ISBLANK(C3),ISBLANK(C4),C4&gt;=C3),
    OR(ISBLANK(D3),ISBLANK(D4),D4&gt;=D3),
    OR(ISBLANK(E3),ISBLANK(E4),E4&gt;=E3),
    OR(ISBLANK(F3),ISBLANK(F4),F4&gt;=F3),
    OR(ISBLANK(G3),ISBLANK(G4),G4&gt;=G3),
    OR(ISBLANK(H3),ISBLANK(H4),H4&gt;=H3),
    IF(I$1="",TRUE,OR(ISBLANK(I3),ISBLANK(I4),I4&gt;=I3)),
    IF(I$1="",TRUE,OR(ISBLANK(J3),ISBLANK(J4),J4&gt;=J3)),
    IF(K$1="",TRUE,OR(ISBLANK(K3),ISBLANK(K4),K4&gt;=K3)),
    IF(K$1="",TRUE,OR(ISBLANK(L3),ISBLANK(L4),L4&gt;=L3))
  )),FALSE),
  "Numérateur supérieur à ce dénominateur !",
  LEFT( IF(B4="Dénominateur",A3,A4),12) = "(Facultatif)","",
  IF(I$1="",COUNTBLANK(C4:H4),COUNTBLANK(C4:J4))&gt;0,
  _xlfn.CONCAT("Encore ",IF(I$1="",COUNTBLANK(C4:H4),COUNTBLANK(C4:J4)), " cellule(s) requise(s)"),
  TRUE,""
)</f>
        <v>#NAME?</v>
      </c>
    </row>
    <row r="5" spans="1:9" ht="30" customHeight="1" x14ac:dyDescent="0.25">
      <c r="A5" s="133"/>
      <c r="B5" s="5" t="s">
        <v>2</v>
      </c>
      <c r="C5" s="71" t="str">
        <f>IFERROR(GETPIVOTDATA("valeur",VUE_KPI_FTTH!$A$7,"codeIndicateur","xxviii","unite","Dénominateur","maille","Maille OI","type_valeur","Valeurs Nettes","OC","(vide)"),VUE_KPI_FTTH!A1)</f>
        <v>N/A</v>
      </c>
      <c r="D5" s="72">
        <f>IFERROR(GETPIVOTDATA("valeur",VUE_KPI_FTTH!$A$7,"codeIndicateur","xxviii","unite","Dénominateur","maille","Maille OI","type_valeur","Valeurs Brutes","OC","(vide)"),VUE_KPI_FTTH!A2)</f>
        <v>867</v>
      </c>
      <c r="E5" s="71" t="str">
        <f>IFERROR(GETPIVOTDATA("valeur",VUE_KPI_FTTH!$A$7,"codeIndicateur","xxviii","unite","Dénominateur","maille","Maille OI (offres commercialisées sur le marché de gros activé)","type_valeur","Valeurs Nettes","OC","(vide)"),VUE_KPI_FTTH!A1)</f>
        <v>N/A</v>
      </c>
      <c r="F5" s="72">
        <f>IFERROR(GETPIVOTDATA("valeur",VUE_KPI_FTTH!$A$7,"codeIndicateur","xxviii","unite","Dénominateur","maille","Maille OI (offres commercialisées sur le marché de gros activé)","type_valeur","Valeurs Brutes","OC","(vide)"),VUE_KPI_FTTH!A2)</f>
        <v>0</v>
      </c>
      <c r="G5" s="71" t="str">
        <f>IFERROR(GETPIVOTDATA("valeur",VUE_KPI_FTTH!$A$7,"codeIndicateur","xxviii","unite","Dénominateur","maille","Maille OI (offres commercialisées sur le marché de détail - Autofourniture)","type_valeur","Valeurs Nettes","OC","(vide)"),VUE_KPI_FTTH!A1)</f>
        <v>N/A</v>
      </c>
      <c r="H5" s="72">
        <f>IFERROR(GETPIVOTDATA("valeur",VUE_KPI_FTTH!$A$7,"codeIndicateur","xxviii","unite","Dénominateur","maille","Maille OI (offres commercialisées sur le marché de détail - Autofourniture)","type_valeur","Valeurs Brutes","OC","(vide)"),VUE_KPI_FTTH!A2)</f>
        <v>618</v>
      </c>
      <c r="I5" s="79" t="e">
        <f t="shared" ref="I5:I40" ca="1" si="0" xml:space="preserve">
_xlfn.IFS(
  OR(B5="Taux",B5=""), "",
  NOT(AND(
    OR(ISBLANK(C5),ISNUMBER(C5)),
    OR(ISBLANK(D5),ISNUMBER(D5)),
    OR(ISBLANK(E5),ISNUMBER(E5)),
    OR(ISBLANK(F5),ISNUMBER(F5)),
    OR(ISBLANK(G5),ISNUMBER(G5)),
    OR(ISBLANK(H5),ISNUMBER(H5)),
    IF(I$1="",TRUE,OR(ISBLANK(I5),ISNUMBER(I5))),
    IF(I$1="",TRUE,OR(ISBLANK(J5),ISNUMBER(J5))),
    IF(K$1="",TRUE,OR(ISBLANK(K5),ISNUMBER(K5))),
    IF(K$1="",TRUE,OR(ISBLANK(L5),ISNUMBER(L5)))
  )),
  "Nombres attendus !",
  AND( OR(B5="Numérateur",B5="Dénominateur"),
    NOT(AND(
      OR(ISBLANK(C5),C5=ROUND(C5,0)),
      OR(ISBLANK(D5),D5=ROUND(D5,0)),
      OR(ISBLANK(E5),E5=ROUND(E5,0)),
      OR(ISBLANK(F5),F5=ROUND(F5,0)),
      OR(ISBLANK(G5),G5=ROUND(G5,0)),
      OR(ISBLANK(H5),H5=ROUND(H5,0)),
      IF(I$1="",TRUE,OR(ISBLANK(I5),I5=ROUND(I5,0))),
      IF(I$1="",TRUE,OR(ISBLANK(J5),J5=ROUND(J5,0))),
      IF(K$1="",TRUE,OR(ISBLANK(K5),K5=ROUND(K5,0))),
      IF(K$1="",TRUE,OR(ISBLANK(L5),L5=ROUND(L5,0)))
    ))
  ),
  "Entiers attendus !",
  AND(B5="%",
  NOT(AND(
    OR(ISBLANK(C5),C5=ROUND(C5,4)),
    OR(ISBLANK(D5),D5=ROUND(D5,4)),
    OR(ISBLANK(E5),E5=ROUND(E5,4)),
    OR(ISBLANK(F5),F5=ROUND(F5,4)),
    OR(ISBLANK(G5),G5=ROUND(G5,4)),
    OR(ISBLANK(H5),H5=ROUND(H5,4)),
    IF(I$1="",TRUE,OR(ISBLANK(I5),I5=ROUND(I5,4))),
    IF(I$1="",TRUE,OR(ISBLANK(J5),J5=ROUND(J5,4))),
    IF(K$1="",TRUE,OR(ISBLANK(K5),K5=ROUND(K5,4))),
    IF(K$1="",TRUE,OR(ISBLANK(L5),L5=ROUND(L5,4)))
  ))),
  "Précision pourcentage supérieure à 2 décimales",
  AND(B5&lt;&gt;"Numérateur",B5&lt;&gt;"Dénominateur",B5&lt;&gt;"%",
  NOT(AND(
    OR(ISBLANK(C5),C5=ROUND(C5,2)),
    OR(ISBLANK(D5),D5=ROUND(D5,2)),
    OR(ISBLANK(E5),E5=ROUND(E5,2)),
    OR(ISBLANK(F5),F5=ROUND(F5,2)),
    OR(ISBLANK(G5),G5=ROUND(G5,2)),
    OR(ISBLANK(H5),H5=ROUND(H5,2)),
    IF(I$1="",TRUE,OR(ISBLANK(I5),I5=ROUND(I5,2))),
    IF(I$1="",TRUE,OR(ISBLANK(J5),J5=ROUND(J5,2))),
    IF(K$1="",TRUE,OR(ISBLANK(K5),K5=ROUND(K5,2))),
    IF(K$1="",TRUE,OR(ISBLANK(L5),L5=ROUND(L5,2)))
  ))),
  "Précision supérieure à 2 décimales",
  IF(I$1="",MIN(C5:H5),IF(K$1="",MIN(C5:J5),MIN(C5:L5)))&lt;0, "Nombres positifs attendus !",
  AND(B5="Dénominateur",
  NOT(AND(
    OR(ISBLANK(C5),C5&gt;0),
    OR(ISBLANK(D5),D5&gt;0),
    OR(ISBLANK(E5),E5&gt;0),
    OR(ISBLANK(F5),F5&gt;0),
    OR(ISBLANK(G5),G5&gt;0),
    OR(ISBLANK(H5),H5&gt;0),
    IF(I$1="",TRUE,OR(ISBLANK(I5),I5&gt;0)),
    IF(I$1="",TRUE,OR(ISBLANK(J5),J5&gt;0)),
    IF(K$1="",TRUE,OR(ISBLANK(K5),K5&gt;0)),
    IF(K$1="",TRUE,OR(ISBLANK(L5),L5&gt;0))
  ))),
  "Nombres strictement positifs attendus !",
  IF(B5="Dénominateur",
  NOT(AND(
    OR(ISBLANK(C4),ISBLANK(C5),C5&gt;=C4),
    OR(ISBLANK(D4),ISBLANK(D5),D5&gt;=D4),
    OR(ISBLANK(E4),ISBLANK(E5),E5&gt;=E4),
    OR(ISBLANK(F4),ISBLANK(F5),F5&gt;=F4),
    OR(ISBLANK(G4),ISBLANK(G5),G5&gt;=G4),
    OR(ISBLANK(H4),ISBLANK(H5),H5&gt;=H4),
    IF(I$1="",TRUE,OR(ISBLANK(I4),ISBLANK(I5),I5&gt;=I4)),
    IF(I$1="",TRUE,OR(ISBLANK(J4),ISBLANK(J5),J5&gt;=J4)),
    IF(K$1="",TRUE,OR(ISBLANK(K4),ISBLANK(K5),K5&gt;=K4)),
    IF(K$1="",TRUE,OR(ISBLANK(L4),ISBLANK(L5),L5&gt;=L4))
  )),FALSE),
  "Numérateur supérieur à ce dénominateur !",
  LEFT( IF(B5="Dénominateur",A4,A5),12) = "(Facultatif)","",
  IF(I$1="",COUNTBLANK(C5:H5),COUNTBLANK(C5:J5))&gt;0,
  _xlfn.CONCAT("Encore ",IF(I$1="",COUNTBLANK(C5:H5),COUNTBLANK(C5:J5)), " cellule(s) requise(s)"),
  TRUE,""
)</f>
        <v>#NAME?</v>
      </c>
    </row>
    <row r="6" spans="1:9" ht="30" customHeight="1" x14ac:dyDescent="0.25">
      <c r="A6" s="127"/>
      <c r="B6" s="5" t="s">
        <v>3</v>
      </c>
      <c r="C6" s="73" t="str">
        <f t="shared" ref="C6:H6" si="1">IF(OR(C5="",C5="N/A",C5="NC",C5="ND"),"",C4/C5)</f>
        <v/>
      </c>
      <c r="D6" s="73">
        <f t="shared" si="1"/>
        <v>0</v>
      </c>
      <c r="E6" s="73" t="str">
        <f t="shared" si="1"/>
        <v/>
      </c>
      <c r="F6" s="73" t="e">
        <f t="shared" si="1"/>
        <v>#DIV/0!</v>
      </c>
      <c r="G6" s="73" t="str">
        <f t="shared" si="1"/>
        <v/>
      </c>
      <c r="H6" s="73">
        <f t="shared" si="1"/>
        <v>0</v>
      </c>
      <c r="I6" s="79" t="e">
        <f t="shared" ca="1" si="0"/>
        <v>#NAME?</v>
      </c>
    </row>
    <row r="7" spans="1:9" ht="30" customHeight="1" x14ac:dyDescent="0.25">
      <c r="A7" s="134" t="s">
        <v>41</v>
      </c>
      <c r="B7" s="8" t="s">
        <v>1</v>
      </c>
      <c r="C7" s="69"/>
      <c r="D7" s="70"/>
      <c r="E7" s="69"/>
      <c r="F7" s="70"/>
      <c r="G7" s="69"/>
      <c r="H7" s="70"/>
      <c r="I7" s="79" t="e">
        <f t="shared" ca="1" si="0"/>
        <v>#NAME?</v>
      </c>
    </row>
    <row r="8" spans="1:9" ht="30" customHeight="1" x14ac:dyDescent="0.25">
      <c r="A8" s="135"/>
      <c r="B8" s="5" t="s">
        <v>2</v>
      </c>
      <c r="C8" s="71"/>
      <c r="D8" s="72"/>
      <c r="E8" s="71"/>
      <c r="F8" s="72"/>
      <c r="G8" s="71"/>
      <c r="H8" s="72"/>
      <c r="I8" s="79" t="e">
        <f t="shared" ca="1" si="0"/>
        <v>#NAME?</v>
      </c>
    </row>
    <row r="9" spans="1:9" ht="30" customHeight="1" x14ac:dyDescent="0.25">
      <c r="A9" s="136"/>
      <c r="B9" s="5" t="s">
        <v>3</v>
      </c>
      <c r="C9" s="73" t="str">
        <f t="shared" ref="C9:H9" si="2">IF(OR(C8="",C8="N/A",C8="NC",C8="ND"),"",C7/C8)</f>
        <v/>
      </c>
      <c r="D9" s="73" t="str">
        <f t="shared" si="2"/>
        <v/>
      </c>
      <c r="E9" s="73" t="str">
        <f t="shared" si="2"/>
        <v/>
      </c>
      <c r="F9" s="73" t="str">
        <f t="shared" si="2"/>
        <v/>
      </c>
      <c r="G9" s="73" t="str">
        <f t="shared" si="2"/>
        <v/>
      </c>
      <c r="H9" s="73" t="str">
        <f t="shared" si="2"/>
        <v/>
      </c>
      <c r="I9" s="79" t="e">
        <f t="shared" ca="1" si="0"/>
        <v>#NAME?</v>
      </c>
    </row>
    <row r="10" spans="1:9" ht="30" customHeight="1" x14ac:dyDescent="0.25">
      <c r="A10" s="134" t="s">
        <v>40</v>
      </c>
      <c r="B10" s="8" t="s">
        <v>1</v>
      </c>
      <c r="C10" s="69"/>
      <c r="D10" s="70"/>
      <c r="E10" s="69"/>
      <c r="F10" s="70"/>
      <c r="G10" s="69"/>
      <c r="H10" s="70"/>
      <c r="I10" s="79" t="e">
        <f t="shared" ca="1" si="0"/>
        <v>#NAME?</v>
      </c>
    </row>
    <row r="11" spans="1:9" ht="30" customHeight="1" x14ac:dyDescent="0.25">
      <c r="A11" s="135"/>
      <c r="B11" s="5" t="s">
        <v>2</v>
      </c>
      <c r="C11" s="71"/>
      <c r="D11" s="72"/>
      <c r="E11" s="71"/>
      <c r="F11" s="72"/>
      <c r="G11" s="71"/>
      <c r="H11" s="72"/>
      <c r="I11" s="79" t="e">
        <f t="shared" ca="1" si="0"/>
        <v>#NAME?</v>
      </c>
    </row>
    <row r="12" spans="1:9" ht="30" customHeight="1" x14ac:dyDescent="0.25">
      <c r="A12" s="136"/>
      <c r="B12" s="5" t="s">
        <v>3</v>
      </c>
      <c r="C12" s="73" t="str">
        <f t="shared" ref="C12:H12" si="3">IF(OR(C11="",C11="N/A",C11="NC",C11="ND"),"",C10/C11)</f>
        <v/>
      </c>
      <c r="D12" s="73" t="str">
        <f t="shared" si="3"/>
        <v/>
      </c>
      <c r="E12" s="73" t="str">
        <f t="shared" si="3"/>
        <v/>
      </c>
      <c r="F12" s="73" t="str">
        <f t="shared" si="3"/>
        <v/>
      </c>
      <c r="G12" s="73" t="str">
        <f t="shared" si="3"/>
        <v/>
      </c>
      <c r="H12" s="73" t="str">
        <f t="shared" si="3"/>
        <v/>
      </c>
      <c r="I12" s="79" t="e">
        <f t="shared" ca="1" si="0"/>
        <v>#NAME?</v>
      </c>
    </row>
    <row r="13" spans="1:9" ht="30" customHeight="1" x14ac:dyDescent="0.25">
      <c r="A13" s="132" t="s">
        <v>33</v>
      </c>
      <c r="B13" s="8" t="s">
        <v>1</v>
      </c>
      <c r="C13" s="69" t="str">
        <f>IFERROR(GETPIVOTDATA("valeur",VUE_KPI_FTTH!$A$7,"codeIndicateur","xxix","unite","Numérateur","maille","Maille OI","type_valeur","Valeurs Nettes","OC","(vide)"),VUE_KPI_FTTH!A1)</f>
        <v>N/A</v>
      </c>
      <c r="D13" s="70">
        <f>IFERROR(GETPIVOTDATA("valeur",VUE_KPI_FTTH!$A$7,"codeIndicateur","xxix","unite","Numérateur","maille","Maille OI","type_valeur","Valeurs Brutes","OC","(vide)"),VUE_KPI_FTTH!A2)</f>
        <v>16</v>
      </c>
      <c r="E13" s="69" t="str">
        <f>IFERROR(GETPIVOTDATA("valeur",VUE_KPI_FTTH!$A$7,"codeIndicateur","xxix","unite","Numérateur","maille","Maille OI (offres commercialisées sur le marché de gros activé)","type_valeur","Valeurs Nettes","OC","(vide)"),VUE_KPI_FTTH!A1)</f>
        <v>N/A</v>
      </c>
      <c r="F13" s="70">
        <f>IFERROR(GETPIVOTDATA("valeur",VUE_KPI_FTTH!$A$7,"codeIndicateur","xxix","unite","Numérateur","maille","Maille OI (offres commercialisées sur le marché de gros activé)","type_valeur","Valeurs Brutes","OC","(vide)"),VUE_KPI_FTTH!A2)</f>
        <v>0</v>
      </c>
      <c r="G13" s="69" t="str">
        <f>IFERROR(GETPIVOTDATA("valeur",VUE_KPI_FTTH!$A$7,"codeIndicateur","xxix","unite","Numérateur","maille","Maille OI (offres commercialisées sur le marché de détail - Autofourniture)","type_valeur","Valeurs Nettes","OC","(vide)"),VUE_KPI_FTTH!A1)</f>
        <v>N/A</v>
      </c>
      <c r="H13" s="70">
        <f>IFERROR(GETPIVOTDATA("valeur",VUE_KPI_FTTH!$A$7,"codeIndicateur","xxix","unite","Numérateur","maille","Maille OI (offres commercialisées sur le marché de détail - Autofourniture)","type_valeur","Valeurs Brutes","OC","(vide)"),VUE_KPI_FTTH!A2)</f>
        <v>1</v>
      </c>
      <c r="I13" s="79" t="e">
        <f t="shared" ca="1" si="0"/>
        <v>#NAME?</v>
      </c>
    </row>
    <row r="14" spans="1:9" ht="30" customHeight="1" x14ac:dyDescent="0.25">
      <c r="A14" s="133"/>
      <c r="B14" s="5" t="s">
        <v>2</v>
      </c>
      <c r="C14" s="71" t="str">
        <f>IFERROR(GETPIVOTDATA("valeur",VUE_KPI_FTTH!$A$7,"codeIndicateur","xxix","unite","Dénominateur","maille","Maille OI","type_valeur","Valeurs Nettes","OC","(vide)"),VUE_KPI_FTTH!A1)</f>
        <v>N/A</v>
      </c>
      <c r="D14" s="72">
        <f>IFERROR(GETPIVOTDATA("valeur",VUE_KPI_FTTH!$A$7,"codeIndicateur","xxix","unite","Dénominateur","maille","Maille OI","type_valeur","Valeurs Brutes","OC","(vide)"),VUE_KPI_FTTH!A2)</f>
        <v>837</v>
      </c>
      <c r="E14" s="71" t="str">
        <f>IFERROR(GETPIVOTDATA("valeur",VUE_KPI_FTTH!$A$7,"codeIndicateur","xxix","unite","Dénominateur","maille","Maille OI (offres commercialisées sur le marché de gros activé)","type_valeur","Valeurs Nettes","OC","(vide)"),VUE_KPI_FTTH!A1)</f>
        <v>N/A</v>
      </c>
      <c r="F14" s="72">
        <f>IFERROR(GETPIVOTDATA("valeur",VUE_KPI_FTTH!$A$7,"codeIndicateur","xxix","unite","Dénominateur","maille","Maille OI (offres commercialisées sur le marché de gros activé)","type_valeur","Valeurs Brutes","OC","(vide)"),VUE_KPI_FTTH!A2)</f>
        <v>0</v>
      </c>
      <c r="G14" s="71" t="str">
        <f>IFERROR(GETPIVOTDATA("valeur",VUE_KPI_FTTH!$A$7,"codeIndicateur","xxix","unite","Dénominateur","maille","Maille OI (offres commercialisées sur le marché de détail - Autofourniture)","type_valeur","Valeurs Nettes","OC","(vide)"),VUE_KPI_FTTH!A1)</f>
        <v>N/A</v>
      </c>
      <c r="H14" s="72">
        <f>IFERROR(GETPIVOTDATA("valeur",VUE_KPI_FTTH!$A$7,"codeIndicateur","xxix","unite","Dénominateur","maille","Maille OI (offres commercialisées sur le marché de détail - Autofourniture)","type_valeur","Valeurs Brutes","OC","(vide)"),VUE_KPI_FTTH!A2)</f>
        <v>576</v>
      </c>
      <c r="I14" s="79" t="e">
        <f t="shared" ca="1" si="0"/>
        <v>#NAME?</v>
      </c>
    </row>
    <row r="15" spans="1:9" ht="30" customHeight="1" x14ac:dyDescent="0.25">
      <c r="A15" s="127"/>
      <c r="B15" s="5" t="s">
        <v>3</v>
      </c>
      <c r="C15" s="73" t="str">
        <f t="shared" ref="C15:H15" si="4">IF(OR(C14="",C14="N/A",C14="NC",C14="ND"),"",C13/C14)</f>
        <v/>
      </c>
      <c r="D15" s="73">
        <f t="shared" si="4"/>
        <v>1.9115890083632018E-2</v>
      </c>
      <c r="E15" s="73" t="str">
        <f t="shared" si="4"/>
        <v/>
      </c>
      <c r="F15" s="73" t="e">
        <f t="shared" si="4"/>
        <v>#DIV/0!</v>
      </c>
      <c r="G15" s="73" t="str">
        <f t="shared" si="4"/>
        <v/>
      </c>
      <c r="H15" s="73">
        <f t="shared" si="4"/>
        <v>1.736111111111111E-3</v>
      </c>
      <c r="I15" s="79" t="e">
        <f t="shared" ca="1" si="0"/>
        <v>#NAME?</v>
      </c>
    </row>
    <row r="16" spans="1:9" ht="30" customHeight="1" x14ac:dyDescent="0.25">
      <c r="A16" s="132" t="s">
        <v>43</v>
      </c>
      <c r="B16" s="5" t="s">
        <v>75</v>
      </c>
      <c r="C16" s="82" t="str">
        <f>IFERROR(GETPIVOTDATA("valeur",VUE_KPI_FTTH!$A$7,"codeIndicateur","xxx","unite","50e centile","maille","Maille OI","type_valeur","Valeurs Nettes","OC","(vide)"),VUE_KPI_FTTH!A1)</f>
        <v>N/A</v>
      </c>
      <c r="D16" s="83">
        <f>IFERROR(GETPIVOTDATA("valeur",VUE_KPI_FTTH!$A$7,"codeIndicateur","xxx","unite","50e centile","maille","Maille OI","type_valeur","Valeurs Brutes","OC","(vide)"),VUE_KPI_FTTH!A1)</f>
        <v>10.3</v>
      </c>
      <c r="E16" s="82" t="str">
        <f>IFERROR(GETPIVOTDATA("valeur",VUE_KPI_FTTH!$A$7,"codeIndicateur","xxx","unite","50e centile","maille","Maille OI (offres commercialisées sur le marché de gros activé)","type_valeur","Valeurs Nettes","OC","(vide)"),VUE_KPI_FTTH!A1)</f>
        <v>N/A</v>
      </c>
      <c r="F16" s="83" t="str">
        <f>IFERROR(GETPIVOTDATA("valeur",VUE_KPI_FTTH!$A$7,"codeIndicateur","xxx","unite","50e centile","maille","Maille OI (offres commercialisées sur le marché de gros activé)","type_valeur","Valeurs Brutes","OC","(vide)"),VUE_KPI_FTTH!A1)</f>
        <v>N/A</v>
      </c>
      <c r="G16" s="82" t="str">
        <f>IFERROR(GETPIVOTDATA("valeur",VUE_KPI_FTTH!$A$7,"codeIndicateur","xxx","unite","50e centile","maille","Maille OI (offres commercialisées sur le marché de détail - Autofourniture)","type_valeur","Valeurs Nettes","OC","(vide)"),VUE_KPI_FTTH!A1)</f>
        <v>N/A</v>
      </c>
      <c r="H16" s="83">
        <f>IFERROR(GETPIVOTDATA("valeur",VUE_KPI_FTTH!$A$7,"codeIndicateur","xxx","unite","50e centile","maille","Maille OI (offres commercialisées sur le marché de détail - Autofourniture)","type_valeur","Valeurs Brutes","OC","(vide)"),VUE_KPI_FTTH!A1)</f>
        <v>10.8</v>
      </c>
      <c r="I16" s="79" t="e">
        <f t="shared" ca="1" si="0"/>
        <v>#NAME?</v>
      </c>
    </row>
    <row r="17" spans="1:9" ht="30" customHeight="1" x14ac:dyDescent="0.25">
      <c r="A17" s="127"/>
      <c r="B17" s="5" t="s">
        <v>72</v>
      </c>
      <c r="C17" s="84" t="str">
        <f>IFERROR(GETPIVOTDATA("valeur",VUE_KPI_FTTH!$A$7,"codeIndicateur","xxx","unite","95e centile","maille","Maille OI","type_valeur","Valeurs Nettes","OC","(vide)"),VUE_KPI_FTTH!A1)</f>
        <v>N/A</v>
      </c>
      <c r="D17" s="85">
        <f>IFERROR(GETPIVOTDATA("valeur",VUE_KPI_FTTH!$A$7,"codeIndicateur","xxx","unite","95e centile","maille","Maille OI","type_valeur","Valeurs Brutes","OC","(vide)"),VUE_KPI_FTTH!A1)</f>
        <v>86.7</v>
      </c>
      <c r="E17" s="84" t="str">
        <f>IFERROR(GETPIVOTDATA("valeur",VUE_KPI_FTTH!$A$7,"codeIndicateur","xxx","unite","95e centile","maille","Maille OI (offres commercialisées sur le marché de gros activé)","type_valeur","Valeurs Nettes","OC","(vide)"),VUE_KPI_FTTH!A1)</f>
        <v>N/A</v>
      </c>
      <c r="F17" s="85" t="str">
        <f>IFERROR(GETPIVOTDATA("valeur",VUE_KPI_FTTH!$A$7,"codeIndicateur","xxx","unite","95e centile","maille","Maille OI (offres commercialisées sur le marché de gros activé)","type_valeur","Valeurs Brutes","OC","(vide)"),VUE_KPI_FTTH!A1)</f>
        <v>N/A</v>
      </c>
      <c r="G17" s="84" t="str">
        <f>IFERROR(GETPIVOTDATA("valeur",VUE_KPI_FTTH!$A$7,"codeIndicateur","xxx","unite","95e centile","maille","Maille OI (offres commercialisées sur le marché de détail - Autofourniture)","type_valeur","Valeurs Nettes","OC","(vide)"),VUE_KPI_FTTH!A1)</f>
        <v>N/A</v>
      </c>
      <c r="H17" s="85">
        <f>IFERROR(GETPIVOTDATA("valeur",VUE_KPI_FTTH!$A$7,"codeIndicateur","xxx","unite","95e centile","maille","Maille OI (offres commercialisées sur le marché de détail - Autofourniture)","type_valeur","Valeurs Brutes","OC","(vide)"),VUE_KPI_FTTH!A1)</f>
        <v>91.5</v>
      </c>
      <c r="I17" s="79" t="e">
        <f t="shared" ca="1" si="0"/>
        <v>#NAME?</v>
      </c>
    </row>
    <row r="18" spans="1:9" ht="30" customHeight="1" x14ac:dyDescent="0.25">
      <c r="A18" s="132" t="s">
        <v>74</v>
      </c>
      <c r="B18" s="5" t="s">
        <v>75</v>
      </c>
      <c r="C18" s="82" t="str">
        <f>IFERROR(GETPIVOTDATA("valeur",VUE_KPI_FTTH!$A$7,"codeIndicateur","xxxi","unite","50e centile","maille","Maille OI","type_valeur","Valeurs Nettes","OC","(vide)"),VUE_KPI_FTTH!A1)</f>
        <v>N/A</v>
      </c>
      <c r="D18" s="83">
        <f>IFERROR(GETPIVOTDATA("valeur",VUE_KPI_FTTH!$A$7,"codeIndicateur","xxxi","unite","50e centile","maille","Maille OI","type_valeur","Valeurs Brutes","OC","(vide)"),VUE_KPI_FTTH!A1)</f>
        <v>0</v>
      </c>
      <c r="E18" s="82" t="str">
        <f>IFERROR(GETPIVOTDATA("valeur",VUE_KPI_FTTH!$A$7,"codeIndicateur","xxxi","unite","50e centile","maille","Maille OI (offres commercialisées sur le marché de gros activé)","type_valeur","Valeurs Nettes","OC","(vide)"),VUE_KPI_FTTH!A1)</f>
        <v>N/A</v>
      </c>
      <c r="F18" s="83" t="str">
        <f>IFERROR(GETPIVOTDATA("valeur",VUE_KPI_FTTH!$A$7,"codeIndicateur","xxxi","unite","50e centile","maille","Maille OI (offres commercialisées sur le marché de gros activé)","type_valeur","Valeurs Brutes","OC","(vide)"),VUE_KPI_FTTH!A1)</f>
        <v>N/A</v>
      </c>
      <c r="G18" s="82" t="str">
        <f>IFERROR(GETPIVOTDATA("valeur",VUE_KPI_FTTH!$A$7,"codeIndicateur","xxxi","unite","50e centile","maille","Maille OI (offres commercialisées sur le marché de détail - Autofourniture)","type_valeur","Valeurs Nettes","OC","(vide)"),VUE_KPI_FTTH!A1)</f>
        <v>N/A</v>
      </c>
      <c r="H18" s="83">
        <f>IFERROR(GETPIVOTDATA("valeur",VUE_KPI_FTTH!$A$7,"codeIndicateur","xxxi","unite","50e centile","maille","Maille OI (offres commercialisées sur le marché de détail - Autofourniture)","type_valeur","Valeurs Brutes","OC","(vide)"),VUE_KPI_FTTH!A1)</f>
        <v>0</v>
      </c>
      <c r="I18" s="79" t="e">
        <f t="shared" ca="1" si="0"/>
        <v>#NAME?</v>
      </c>
    </row>
    <row r="19" spans="1:9" ht="30" customHeight="1" x14ac:dyDescent="0.25">
      <c r="A19" s="127"/>
      <c r="B19" s="5" t="s">
        <v>72</v>
      </c>
      <c r="C19" s="84" t="str">
        <f>IFERROR(GETPIVOTDATA("valeur",VUE_KPI_FTTH!$A$7,"codeIndicateur","xxxi","unite","95e centile","maille","Maille OI","type_valeur","Valeurs Nettes","OC","(vide)"),VUE_KPI_FTTH!A1)</f>
        <v>N/A</v>
      </c>
      <c r="D19" s="85">
        <f>IFERROR(GETPIVOTDATA("valeur",VUE_KPI_FTTH!$A$7,"codeIndicateur","xxxi","unite","95e centile","maille","Maille OI","type_valeur","Valeurs Brutes","OC","(vide)"),VUE_KPI_FTTH!A1)</f>
        <v>1.7</v>
      </c>
      <c r="E19" s="84" t="str">
        <f>IFERROR(GETPIVOTDATA("valeur",VUE_KPI_FTTH!$A$7,"codeIndicateur","xxxi","unite","95e centile","maille","Maille OI (offres commercialisées sur le marché de gros activé)","type_valeur","Valeurs Nettes","OC","(vide)"),VUE_KPI_FTTH!A1)</f>
        <v>N/A</v>
      </c>
      <c r="F19" s="85" t="str">
        <f>IFERROR(GETPIVOTDATA("valeur",VUE_KPI_FTTH!$A$7,"codeIndicateur","xxxi","unite","95e centile","maille","Maille OI (offres commercialisées sur le marché de gros activé)","type_valeur","Valeurs Brutes","OC","(vide)"),VUE_KPI_FTTH!A1)</f>
        <v>N/A</v>
      </c>
      <c r="G19" s="84" t="str">
        <f>IFERROR(GETPIVOTDATA("valeur",VUE_KPI_FTTH!$A$7,"codeIndicateur","xxxi","unite","95e centile","maille","Maille OI (offres commercialisées sur le marché de détail - Autofourniture)","type_valeur","Valeurs Nettes","OC","(vide)"),VUE_KPI_FTTH!A1)</f>
        <v>N/A</v>
      </c>
      <c r="H19" s="85">
        <f>IFERROR(GETPIVOTDATA("valeur",VUE_KPI_FTTH!$A$7,"codeIndicateur","xxxi","unite","95e centile","maille","Maille OI (offres commercialisées sur le marché de détail - Autofourniture)","type_valeur","Valeurs Brutes","OC","(vide)"),VUE_KPI_FTTH!A1)</f>
        <v>0.6</v>
      </c>
      <c r="I19" s="79" t="e">
        <f t="shared" ca="1" si="0"/>
        <v>#NAME?</v>
      </c>
    </row>
    <row r="20" spans="1:9" ht="30" customHeight="1" x14ac:dyDescent="0.25">
      <c r="A20" s="132" t="s">
        <v>45</v>
      </c>
      <c r="B20" s="5" t="s">
        <v>1</v>
      </c>
      <c r="C20" s="69" t="str">
        <f>IFERROR(GETPIVOTDATA("valeur",VUE_KPI_FTTH!$A$7,"codeIndicateur","xxxii","unite","Numérateur","maille","Maille OI","type_valeur","Valeurs Nettes","OC","(vide)"),VUE_KPI_FTTH!A1)</f>
        <v>N/A</v>
      </c>
      <c r="D20" s="70">
        <f>IFERROR(GETPIVOTDATA("valeur",VUE_KPI_FTTH!$A$7,"codeIndicateur","xxxii","unite","Numérateur","maille","Maille OI","type_valeur","Valeurs Brutes","OC","(vide)"),VUE_KPI_FTTH!A2)</f>
        <v>189</v>
      </c>
      <c r="E20" s="69" t="str">
        <f>IFERROR(GETPIVOTDATA("valeur",VUE_KPI_FTTH!$A$7,"codeIndicateur","xxxii","unite","Numérateur","maille","Maille OI (offres commercialisées sur le marché de gros activé)","type_valeur","Valeurs Nettes","OC","(vide)"),VUE_KPI_FTTH!A1)</f>
        <v>N/A</v>
      </c>
      <c r="F20" s="70">
        <f>IFERROR(GETPIVOTDATA("valeur",VUE_KPI_FTTH!$A$7,"codeIndicateur","xxxii","unite","Numérateur","maille","Maille OI (offres commercialisées sur le marché de gros activé)","type_valeur","Valeurs Brutes","OC","(vide)"),VUE_KPI_FTTH!A2)</f>
        <v>0</v>
      </c>
      <c r="G20" s="69" t="str">
        <f>IFERROR(GETPIVOTDATA("valeur",VUE_KPI_FTTH!$A$7,"codeIndicateur","xxxii","unite","Numérateur","maille","Maille OI (offres commercialisées sur le marché de détail - Autofourniture)","type_valeur","Valeurs Nettes","OC","(vide)"),VUE_KPI_FTTH!A1)</f>
        <v>N/A</v>
      </c>
      <c r="H20" s="70">
        <f>IFERROR(GETPIVOTDATA("valeur",VUE_KPI_FTTH!$A$7,"codeIndicateur","xxxii","unite","Numérateur","maille","Maille OI (offres commercialisées sur le marché de détail - Autofourniture)","type_valeur","Valeurs Brutes","OC","(vide)"),VUE_KPI_FTTH!A2)</f>
        <v>142</v>
      </c>
      <c r="I20" s="79" t="e">
        <f t="shared" ca="1" si="0"/>
        <v>#NAME?</v>
      </c>
    </row>
    <row r="21" spans="1:9" ht="30" customHeight="1" x14ac:dyDescent="0.25">
      <c r="A21" s="133"/>
      <c r="B21" s="5" t="s">
        <v>2</v>
      </c>
      <c r="C21" s="71" t="str">
        <f>IFERROR(GETPIVOTDATA("valeur",VUE_KPI_FTTH!$A$7,"codeIndicateur","xxxii","unite","Dénominateur","maille","Maille OI","type_valeur","Valeurs Nettes","OC","(vide)"),VUE_KPI_FTTH!A1)</f>
        <v>N/A</v>
      </c>
      <c r="D21" s="72">
        <f>IFERROR(GETPIVOTDATA("valeur",VUE_KPI_FTTH!$A$7,"codeIndicateur","xxxii","unite","Dénominateur","maille","Maille OI","type_valeur","Valeurs Brutes","OC","(vide)"),VUE_KPI_FTTH!A2)</f>
        <v>828</v>
      </c>
      <c r="E21" s="71" t="str">
        <f>IFERROR(GETPIVOTDATA("valeur",VUE_KPI_FTTH!$A$7,"codeIndicateur","xxxii","unite","Dénominateur","maille","Maille OI (offres commercialisées sur le marché de gros activé)","type_valeur","Valeurs Nettes","OC","(vide)"),VUE_KPI_FTTH!A1)</f>
        <v>N/A</v>
      </c>
      <c r="F21" s="72">
        <f>IFERROR(GETPIVOTDATA("valeur",VUE_KPI_FTTH!$A$7,"codeIndicateur","xxxii","unite","Dénominateur","maille","Maille OI (offres commercialisées sur le marché de gros activé)","type_valeur","Valeurs Brutes","OC","(vide)"),VUE_KPI_FTTH!A2)</f>
        <v>0</v>
      </c>
      <c r="G21" s="71" t="str">
        <f>IFERROR(GETPIVOTDATA("valeur",VUE_KPI_FTTH!$A$7,"codeIndicateur","xxxii","unite","Dénominateur","maille","Maille OI (offres commercialisées sur le marché de détail - Autofourniture)","type_valeur","Valeurs Nettes","OC","(vide)"),VUE_KPI_FTTH!A1)</f>
        <v>N/A</v>
      </c>
      <c r="H21" s="72">
        <f>IFERROR(GETPIVOTDATA("valeur",VUE_KPI_FTTH!$A$7,"codeIndicateur","xxxii","unite","Dénominateur","maille","Maille OI (offres commercialisées sur le marché de détail - Autofourniture)","type_valeur","Valeurs Brutes","OC","(vide)"),VUE_KPI_FTTH!A2)</f>
        <v>598</v>
      </c>
      <c r="I21" s="79" t="e">
        <f t="shared" ca="1" si="0"/>
        <v>#NAME?</v>
      </c>
    </row>
    <row r="22" spans="1:9" ht="30" customHeight="1" x14ac:dyDescent="0.25">
      <c r="A22" s="127"/>
      <c r="B22" s="5" t="s">
        <v>3</v>
      </c>
      <c r="C22" s="73" t="str">
        <f t="shared" ref="C22:H22" si="5">IF(OR(C21="",C21="N/A",C21="NC",C21="ND"),"",C20/C21)</f>
        <v/>
      </c>
      <c r="D22" s="73">
        <f t="shared" si="5"/>
        <v>0.22826086956521738</v>
      </c>
      <c r="E22" s="73" t="str">
        <f t="shared" si="5"/>
        <v/>
      </c>
      <c r="F22" s="73" t="e">
        <f t="shared" si="5"/>
        <v>#DIV/0!</v>
      </c>
      <c r="G22" s="73" t="str">
        <f t="shared" si="5"/>
        <v/>
      </c>
      <c r="H22" s="73">
        <f t="shared" si="5"/>
        <v>0.23745819397993312</v>
      </c>
      <c r="I22" s="79" t="e">
        <f t="shared" ca="1" si="0"/>
        <v>#NAME?</v>
      </c>
    </row>
    <row r="23" spans="1:9" ht="30" customHeight="1" x14ac:dyDescent="0.25">
      <c r="A23" s="132" t="s">
        <v>34</v>
      </c>
      <c r="B23" s="5" t="s">
        <v>1</v>
      </c>
      <c r="C23" s="69" t="str">
        <f>IFERROR(GETPIVOTDATA("valeur",VUE_KPI_FTTH!$A$7,"codeIndicateur","xxxiii","unite","Numérateur","maille","Maille OI","type_valeur","Valeurs Nettes","OC","(vide)"),VUE_KPI_FTTH!A1)</f>
        <v>N/A</v>
      </c>
      <c r="D23" s="70">
        <f>IFERROR(GETPIVOTDATA("valeur",VUE_KPI_FTTH!$A$7,"codeIndicateur","xxxiii","unite","Numérateur","maille","Maille OI","type_valeur","Valeurs Brutes","OC","(vide)"),VUE_KPI_FTTH!A1)</f>
        <v>69847</v>
      </c>
      <c r="E23" s="69" t="str">
        <f>IFERROR(GETPIVOTDATA("valeur",VUE_KPI_FTTH!$A$7,"codeIndicateur","xxxiii","unite","Numérateur","maille","Maille OI (offres commercialisées sur le marché de gros activé)","type_valeur","Valeurs Nettes","OC","(vide)"),VUE_KPI_FTTH!A1)</f>
        <v>N/A</v>
      </c>
      <c r="F23" s="70">
        <f>IFERROR(GETPIVOTDATA("valeur",VUE_KPI_FTTH!$A$7,"codeIndicateur","xxxiii","unite","Numérateur","maille","Maille OI (offres commercialisées sur le marché de gros activé)","type_valeur","Valeurs Brutes","OC","(vide)"),VUE_KPI_FTTH!A1)</f>
        <v>69847</v>
      </c>
      <c r="G23" s="69" t="str">
        <f>IFERROR(GETPIVOTDATA("valeur",VUE_KPI_FTTH!$A$7,"codeIndicateur","xxxiii","unite","Numérateur","maille","Maille OI (offres commercialisées sur le marché de détail - Autofourniture)","type_valeur","Valeurs Nettes","OC","(vide)"),VUE_KPI_FTTH!A1)</f>
        <v>N/A</v>
      </c>
      <c r="H23" s="70">
        <f>IFERROR(GETPIVOTDATA("valeur",VUE_KPI_FTTH!$A$7,"codeIndicateur","xxxiii","unite","Numérateur","maille","Maille OI (offres commercialisées sur le marché de détail - Autofourniture)","type_valeur","Valeurs Brutes","OC","(vide)"),VUE_KPI_FTTH!A1)</f>
        <v>69847</v>
      </c>
      <c r="I23" s="79" t="e">
        <f t="shared" ca="1" si="0"/>
        <v>#NAME?</v>
      </c>
    </row>
    <row r="24" spans="1:9" ht="30" customHeight="1" x14ac:dyDescent="0.25">
      <c r="A24" s="133"/>
      <c r="B24" s="5" t="s">
        <v>2</v>
      </c>
      <c r="C24" s="71" t="str">
        <f>IFERROR(GETPIVOTDATA("valeur",VUE_KPI_FTTH!$A$7,"codeIndicateur","xxxiii","unite","Dénominateur","maille","Maille OI","type_valeur","Valeurs Nettes","OC","(vide)"),VUE_KPI_FTTH!A1)</f>
        <v>N/A</v>
      </c>
      <c r="D24" s="72">
        <f>IFERROR(GETPIVOTDATA("valeur",VUE_KPI_FTTH!$A$7,"codeIndicateur","xxxiii","unite","Dénominateur","maille","Maille OI","type_valeur","Valeurs Brutes","OC","(vide)"),VUE_KPI_FTTH!A1)</f>
        <v>377577</v>
      </c>
      <c r="E24" s="71" t="str">
        <f>IFERROR(GETPIVOTDATA("valeur",VUE_KPI_FTTH!$A$7,"codeIndicateur","xxxiii","unite","Dénominateur","maille","Maille OI (offres commercialisées sur le marché de gros activé)","type_valeur","Valeurs Nettes","OC","(vide)"),VUE_KPI_FTTH!A1)</f>
        <v>N/A</v>
      </c>
      <c r="F24" s="72">
        <f>IFERROR(GETPIVOTDATA("valeur",VUE_KPI_FTTH!$A$7,"codeIndicateur","xxxiii","unite","Dénominateur","maille","Maille OI (offres commercialisées sur le marché de gros activé)","type_valeur","Valeurs Brutes","OC","(vide)"),VUE_KPI_FTTH!A1)</f>
        <v>377577</v>
      </c>
      <c r="G24" s="71" t="str">
        <f>IFERROR(GETPIVOTDATA("valeur",VUE_KPI_FTTH!$A$7,"codeIndicateur","xxxiii","unite","Dénominateur","maille","Maille OI (offres commercialisées sur le marché de détail - Autofourniture)","type_valeur","Valeurs Nettes","OC","(vide)"),VUE_KPI_FTTH!A1)</f>
        <v>N/A</v>
      </c>
      <c r="H24" s="72">
        <f>IFERROR(GETPIVOTDATA("valeur",VUE_KPI_FTTH!$A$7,"codeIndicateur","xxxiii","unite","Dénominateur","maille","Maille OI (offres commercialisées sur le marché de détail - Autofourniture)","type_valeur","Valeurs Brutes","OC","(vide)"),VUE_KPI_FTTH!A1)</f>
        <v>377577</v>
      </c>
      <c r="I24" s="79" t="e">
        <f t="shared" ca="1" si="0"/>
        <v>#NAME?</v>
      </c>
    </row>
    <row r="25" spans="1:9" ht="30" customHeight="1" x14ac:dyDescent="0.25">
      <c r="A25" s="127"/>
      <c r="B25" s="5" t="s">
        <v>3</v>
      </c>
      <c r="C25" s="73" t="str">
        <f t="shared" ref="C25:H25" si="6">IF(OR(C24="",C24="N/A",C24="NC",C24="ND"),"",C23/C24)</f>
        <v/>
      </c>
      <c r="D25" s="73">
        <f t="shared" si="6"/>
        <v>0.18498743302690576</v>
      </c>
      <c r="E25" s="73" t="str">
        <f t="shared" si="6"/>
        <v/>
      </c>
      <c r="F25" s="73">
        <f t="shared" si="6"/>
        <v>0.18498743302690576</v>
      </c>
      <c r="G25" s="73" t="str">
        <f t="shared" si="6"/>
        <v/>
      </c>
      <c r="H25" s="73">
        <f t="shared" si="6"/>
        <v>0.18498743302690576</v>
      </c>
      <c r="I25" s="79" t="e">
        <f t="shared" ca="1" si="0"/>
        <v>#NAME?</v>
      </c>
    </row>
    <row r="26" spans="1:9" ht="19.899999999999999" customHeight="1" x14ac:dyDescent="0.25">
      <c r="A26" s="129" t="s">
        <v>35</v>
      </c>
      <c r="B26" s="130"/>
      <c r="C26" s="130"/>
      <c r="D26" s="130"/>
      <c r="E26" s="130"/>
      <c r="F26" s="130"/>
      <c r="G26" s="130"/>
      <c r="H26" s="131"/>
      <c r="I26" s="79" t="e">
        <f t="shared" ca="1" si="0"/>
        <v>#NAME?</v>
      </c>
    </row>
    <row r="27" spans="1:9" ht="30" customHeight="1" x14ac:dyDescent="0.25">
      <c r="A27" s="132" t="s">
        <v>36</v>
      </c>
      <c r="B27" s="8" t="s">
        <v>1</v>
      </c>
      <c r="C27" s="69" t="str">
        <f>IFERROR(GETPIVOTDATA("valeur",VUE_KPI_FTTH!$A$7,"codeIndicateur","xxxiv","unite","Numérateur","maille","Maille OI","type_valeur","Valeurs Nettes","OC","(vide)"),VUE_KPI_FTTH!A1)</f>
        <v>N/A</v>
      </c>
      <c r="D27" s="70" t="str">
        <f>IFERROR(GETPIVOTDATA("valeur",VUE_KPI_FTTH!$A$7,"codeIndicateur","xxxiv","unite","Numérateur","maille","Maille OI","type_valeur","Valeurs Brutes","OC","(vide)"),VUE_KPI_FTTH!A1)</f>
        <v>N/A</v>
      </c>
      <c r="E27" s="69" t="str">
        <f>IFERROR(GETPIVOTDATA("valeur",VUE_KPI_FTTH!$A$7,"codeIndicateur","xxxiv","unite","Numérateur","maille","Maille OI (offres commercialisées sur le marché de gros activé)","type_valeur","Valeurs Nettes","OC","(vide)"),VUE_KPI_FTTH!A1)</f>
        <v>N/A</v>
      </c>
      <c r="F27" s="70" t="str">
        <f>IFERROR(GETPIVOTDATA("valeur",VUE_KPI_FTTH!$A$7,"codeIndicateur","xxxiv","unite","Numérateur","maille","Maille OI (offres commercialisées sur le marché de gros activé)","type_valeur","Valeurs Brutes","OC","(vide)"),VUE_KPI_FTTH!A1)</f>
        <v>N/A</v>
      </c>
      <c r="G27" s="69" t="str">
        <f>IFERROR(GETPIVOTDATA("valeur",VUE_KPI_FTTH!$A$7,"codeIndicateur","xxxiv","unite","Numérateur","maille","Maille OI (offres commercialisées sur le marché de détail - Autofourniture)","type_valeur","Valeurs Nettes","OC","(vide)"),VUE_KPI_FTTH!A1)</f>
        <v>N/A</v>
      </c>
      <c r="H27" s="70" t="str">
        <f>IFERROR(GETPIVOTDATA("valeur",VUE_KPI_FTTH!$A$7,"codeIndicateur","xxxiv","unite","Numérateur","maille","Maille OI (offres commercialisées sur le marché de détail - Autofourniture)","type_valeur","Valeurs Brutes","OC","(vide)"),VUE_KPI_FTTH!A1)</f>
        <v>N/A</v>
      </c>
      <c r="I27" s="79" t="e">
        <f t="shared" ca="1" si="0"/>
        <v>#NAME?</v>
      </c>
    </row>
    <row r="28" spans="1:9" ht="30" customHeight="1" x14ac:dyDescent="0.25">
      <c r="A28" s="133"/>
      <c r="B28" s="5" t="s">
        <v>2</v>
      </c>
      <c r="C28" s="71" t="str">
        <f>IFERROR(GETPIVOTDATA("valeur",VUE_KPI_FTTH!$A$7,"codeIndicateur","xxxiv","unite","Dénominateur","maille","Maille OI","type_valeur","Valeurs Nettes","OC","(vide)"),VUE_KPI_FTTH!A1)</f>
        <v>N/A</v>
      </c>
      <c r="D28" s="72" t="str">
        <f>IFERROR(GETPIVOTDATA("valeur",VUE_KPI_FTTH!$A$7,"codeIndicateur","xxxiv","unite","Dénominateur","maille","Maille OI","type_valeur","Valeurs Brutes","OC","(vide)"),VUE_KPI_FTTH!A1)</f>
        <v>N/A</v>
      </c>
      <c r="E28" s="71" t="str">
        <f>IFERROR(GETPIVOTDATA("valeur",VUE_KPI_FTTH!$A$7,"codeIndicateur","xxxiv","unite","Dénominateur","maille","Maille OI (offres commercialisées sur le marché de gros activé)","type_valeur","Valeurs Nettes","OC","(vide)"),VUE_KPI_FTTH!A1)</f>
        <v>N/A</v>
      </c>
      <c r="F28" s="72" t="str">
        <f>IFERROR(GETPIVOTDATA("valeur",VUE_KPI_FTTH!$A$7,"codeIndicateur","xxxiv","unite","Dénominateur","maille","Maille OI (offres commercialisées sur le marché de gros activé)","type_valeur","Valeurs Brutes","OC","(vide)"),VUE_KPI_FTTH!A1)</f>
        <v>N/A</v>
      </c>
      <c r="G28" s="71" t="str">
        <f>IFERROR(GETPIVOTDATA("valeur",VUE_KPI_FTTH!$A$7,"codeIndicateur","xxxiv","unite","Dénominateur","maille","Maille OI (offres commercialisées sur le marché de détail - Autofourniture)","type_valeur","Valeurs Nettes","OC","(vide)"),VUE_KPI_FTTH!A1)</f>
        <v>N/A</v>
      </c>
      <c r="H28" s="72" t="str">
        <f>IFERROR(GETPIVOTDATA("valeur",VUE_KPI_FTTH!$A$7,"codeIndicateur","xxxiv","unite","Dénominateur","maille","Maille OI (offres commercialisées sur le marché de détail - Autofourniture)","type_valeur","Valeurs Brutes","OC","(vide)"),VUE_KPI_FTTH!A1)</f>
        <v>N/A</v>
      </c>
      <c r="I28" s="79" t="e">
        <f t="shared" ca="1" si="0"/>
        <v>#NAME?</v>
      </c>
    </row>
    <row r="29" spans="1:9" ht="30" customHeight="1" x14ac:dyDescent="0.25">
      <c r="A29" s="127"/>
      <c r="B29" s="5" t="s">
        <v>3</v>
      </c>
      <c r="C29" s="73" t="str">
        <f t="shared" ref="C29:H29" si="7">IF(OR(C28="",C28="N/A",C28="NC",C28="ND"),"",C27/C28)</f>
        <v/>
      </c>
      <c r="D29" s="73" t="str">
        <f t="shared" si="7"/>
        <v/>
      </c>
      <c r="E29" s="73" t="str">
        <f t="shared" si="7"/>
        <v/>
      </c>
      <c r="F29" s="73" t="str">
        <f t="shared" si="7"/>
        <v/>
      </c>
      <c r="G29" s="73" t="str">
        <f t="shared" si="7"/>
        <v/>
      </c>
      <c r="H29" s="73" t="str">
        <f t="shared" si="7"/>
        <v/>
      </c>
      <c r="I29" s="79" t="e">
        <f t="shared" ca="1" si="0"/>
        <v>#NAME?</v>
      </c>
    </row>
    <row r="30" spans="1:9" ht="30" customHeight="1" x14ac:dyDescent="0.25">
      <c r="A30" s="132" t="s">
        <v>37</v>
      </c>
      <c r="B30" s="8" t="s">
        <v>1</v>
      </c>
      <c r="C30" s="69" t="str">
        <f>IFERROR(GETPIVOTDATA("valeur",VUE_KPI_FTTH!$A$7,"codeIndicateur","xxxv","unite","Numérateur","maille","Maille OI","type_valeur","Valeurs Nettes","OC","(vide)"),VUE_KPI_FTTH!A1)</f>
        <v>N/A</v>
      </c>
      <c r="D30" s="70" t="str">
        <f>IFERROR(GETPIVOTDATA("valeur",VUE_KPI_FTTH!$A$7,"codeIndicateur","xxxv","unite","Numérateur","maille","Maille OI","type_valeur","Valeurs Brutes","OC","(vide)"),VUE_KPI_FTTH!A1)</f>
        <v>N/A</v>
      </c>
      <c r="E30" s="69" t="str">
        <f>IFERROR(GETPIVOTDATA("valeur",VUE_KPI_FTTH!$A$7,"codeIndicateur","xxxv","unite","Numérateur","maille","Maille OI (offres commercialisées sur le marché de gros activé)","type_valeur","Valeurs Nettes","OC","(vide)"),VUE_KPI_FTTH!A1)</f>
        <v>N/A</v>
      </c>
      <c r="F30" s="70" t="str">
        <f>IFERROR(GETPIVOTDATA("valeur",VUE_KPI_FTTH!$A$7,"codeIndicateur","xxxv","unite","Numérateur","maille","Maille OI (offres commercialisées sur le marché de gros activé)","type_valeur","Valeurs Brutes","OC","(vide)"),VUE_KPI_FTTH!A1)</f>
        <v>N/A</v>
      </c>
      <c r="G30" s="69" t="str">
        <f>IFERROR(GETPIVOTDATA("valeur",VUE_KPI_FTTH!$A$7,"codeIndicateur","xxxv","unite","Numérateur","maille","Maille OI (offres commercialisées sur le marché de détail - Autofourniture)","type_valeur","Valeurs Nettes","OC","(vide)"),VUE_KPI_FTTH!A1)</f>
        <v>N/A</v>
      </c>
      <c r="H30" s="70" t="str">
        <f>IFERROR(GETPIVOTDATA("valeur",VUE_KPI_FTTH!$A$7,"codeIndicateur","xxxv","unite","Numérateur","maille","Maille OI (offres commercialisées sur le marché de détail - Autofourniture)","type_valeur","Valeurs Brutes","OC","(vide)"),VUE_KPI_FTTH!A1)</f>
        <v>N/A</v>
      </c>
      <c r="I30" s="79" t="e">
        <f t="shared" ca="1" si="0"/>
        <v>#NAME?</v>
      </c>
    </row>
    <row r="31" spans="1:9" ht="30" customHeight="1" x14ac:dyDescent="0.25">
      <c r="A31" s="133"/>
      <c r="B31" s="5" t="s">
        <v>2</v>
      </c>
      <c r="C31" s="71" t="str">
        <f>IFERROR(GETPIVOTDATA("valeur",VUE_KPI_FTTH!$A$7,"codeIndicateur","xxxv","unite","Dénominateur","maille","Maille OI","type_valeur","Valeurs Nettes","OC","(vide)"),VUE_KPI_FTTH!A1)</f>
        <v>N/A</v>
      </c>
      <c r="D31" s="72" t="str">
        <f>IFERROR(GETPIVOTDATA("valeur",VUE_KPI_FTTH!$A$7,"codeIndicateur","xxxv","unite","Dénominateur","maille","Maille OI","type_valeur","Valeurs Brutes","OC","(vide)"),VUE_KPI_FTTH!A1)</f>
        <v>N/A</v>
      </c>
      <c r="E31" s="71" t="str">
        <f>IFERROR(GETPIVOTDATA("valeur",VUE_KPI_FTTH!$A$7,"codeIndicateur","xxxv","unite","Dénominateur","maille","Maille OI (offres commercialisées sur le marché de gros activé)","type_valeur","Valeurs Nettes","OC","(vide)"),VUE_KPI_FTTH!A1)</f>
        <v>N/A</v>
      </c>
      <c r="F31" s="72" t="str">
        <f>IFERROR(GETPIVOTDATA("valeur",VUE_KPI_FTTH!$A$7,"codeIndicateur","xxxv","unite","Dénominateur","maille","Maille OI (offres commercialisées sur le marché de gros activé)","type_valeur","Valeurs Brutes","OC","(vide)"),VUE_KPI_FTTH!A1)</f>
        <v>N/A</v>
      </c>
      <c r="G31" s="71" t="str">
        <f>IFERROR(GETPIVOTDATA("valeur",VUE_KPI_FTTH!$A$7,"codeIndicateur","xxxv","unite","Dénominateur","maille","Maille OI (offres commercialisées sur le marché de détail - Autofourniture)","type_valeur","Valeurs Nettes","OC","(vide)"),VUE_KPI_FTTH!A1)</f>
        <v>N/A</v>
      </c>
      <c r="H31" s="72" t="str">
        <f>IFERROR(GETPIVOTDATA("valeur",VUE_KPI_FTTH!$A$7,"codeIndicateur","xxxv","unite","Dénominateur","maille","Maille OI (offres commercialisées sur le marché de détail - Autofourniture)","type_valeur","Valeurs Brutes","OC","(vide)"),VUE_KPI_FTTH!A1)</f>
        <v>N/A</v>
      </c>
      <c r="I31" s="79" t="e">
        <f t="shared" ca="1" si="0"/>
        <v>#NAME?</v>
      </c>
    </row>
    <row r="32" spans="1:9" ht="30" customHeight="1" x14ac:dyDescent="0.25">
      <c r="A32" s="127"/>
      <c r="B32" s="5" t="s">
        <v>3</v>
      </c>
      <c r="C32" s="73" t="str">
        <f t="shared" ref="C32:H32" si="8">IF(OR(C31="",C31="N/A",C31="NC",C31="ND"),"",C30/C31)</f>
        <v/>
      </c>
      <c r="D32" s="73" t="str">
        <f t="shared" si="8"/>
        <v/>
      </c>
      <c r="E32" s="73" t="str">
        <f t="shared" si="8"/>
        <v/>
      </c>
      <c r="F32" s="73" t="str">
        <f t="shared" si="8"/>
        <v/>
      </c>
      <c r="G32" s="73" t="str">
        <f t="shared" si="8"/>
        <v/>
      </c>
      <c r="H32" s="73" t="str">
        <f t="shared" si="8"/>
        <v/>
      </c>
      <c r="I32" s="79" t="e">
        <f t="shared" ca="1" si="0"/>
        <v>#NAME?</v>
      </c>
    </row>
    <row r="33" spans="1:9" ht="19.899999999999999" customHeight="1" x14ac:dyDescent="0.25">
      <c r="A33" s="129" t="s">
        <v>5</v>
      </c>
      <c r="B33" s="130"/>
      <c r="C33" s="130"/>
      <c r="D33" s="130"/>
      <c r="E33" s="130"/>
      <c r="F33" s="130"/>
      <c r="G33" s="130"/>
      <c r="H33" s="131"/>
      <c r="I33" s="79" t="e">
        <f t="shared" ca="1" si="0"/>
        <v>#NAME?</v>
      </c>
    </row>
    <row r="34" spans="1:9" ht="30" customHeight="1" x14ac:dyDescent="0.25">
      <c r="A34" s="132" t="s">
        <v>46</v>
      </c>
      <c r="B34" s="8" t="s">
        <v>1</v>
      </c>
      <c r="C34" s="69">
        <f>IFERROR(GETPIVOTDATA("valeur",VUE_KPI_FTTH!$A$7,"codeIndicateur","xxxvi","unite","Numérateur","maille","Maille OI","type_valeur","Valeurs Nettes","OC","(vide)"),VUE_KPI_FTTH!A1)</f>
        <v>0</v>
      </c>
      <c r="D34" s="70">
        <f>IFERROR(GETPIVOTDATA("valeur",VUE_KPI_FTTH!$A$7,"codeIndicateur","xxxvi","unite","Numérateur","maille","Maille OI","type_valeur","Valeurs Brutes","OC","(vide)"),VUE_KPI_FTTH!A1)</f>
        <v>0</v>
      </c>
      <c r="E34" s="69" t="str">
        <f>IFERROR(GETPIVOTDATA("valeur",VUE_KPI_FTTH!$A$7,"codeIndicateur","xxxvi","unite","Numérateur","maille","Maille OI (offres commercialisées sur le marché de gros activé)","type_valeur","Valeurs Nettes","OC","(vide)"),VUE_KPI_FTTH!A1)</f>
        <v>N/A</v>
      </c>
      <c r="F34" s="70" t="str">
        <f>IFERROR(GETPIVOTDATA("valeur",VUE_KPI_FTTH!$A$7,"codeIndicateur","xxxvi","unite","Numérateur","maille","Maille OI (offres commercialisées sur le marché de gros activé)","type_valeur","Valeurs Brutes","OC","(vide)"),VUE_KPI_FTTH!A1)</f>
        <v>N/A</v>
      </c>
      <c r="G34" s="69">
        <f>IFERROR(GETPIVOTDATA("valeur",VUE_KPI_FTTH!$A$7,"codeIndicateur","xxxvi","unite","Numérateur","maille","Maille OI (offres commercialisées sur le marché de détail - Autofourniture)","type_valeur","Valeurs Nettes","OC","(vide)"),VUE_KPI_FTTH!A1)</f>
        <v>0</v>
      </c>
      <c r="H34" s="70">
        <f>IFERROR(GETPIVOTDATA("valeur",VUE_KPI_FTTH!$A$7,"codeIndicateur","xxxvi","unite","Numérateur","maille","Maille OI (offres commercialisées sur le marché de détail - Autofourniture)","type_valeur","Valeurs Brutes","OC","(vide)"),VUE_KPI_FTTH!A1)</f>
        <v>0</v>
      </c>
      <c r="I34" s="79" t="e">
        <f t="shared" ca="1" si="0"/>
        <v>#NAME?</v>
      </c>
    </row>
    <row r="35" spans="1:9" ht="30" customHeight="1" x14ac:dyDescent="0.25">
      <c r="A35" s="133"/>
      <c r="B35" s="5" t="s">
        <v>2</v>
      </c>
      <c r="C35" s="71">
        <f>IFERROR(GETPIVOTDATA("valeur",VUE_KPI_FTTH!$A$7,"codeIndicateur","xxxvi","unite","Dénominateur","maille","Maille OI","type_valeur","Valeurs Nettes","OC","(vide)"),VUE_KPI_FTTH!A1)</f>
        <v>3</v>
      </c>
      <c r="D35" s="72">
        <f>IFERROR(GETPIVOTDATA("valeur",VUE_KPI_FTTH!$A$7,"codeIndicateur","xxxvi","unite","Dénominateur","maille","Maille OI","type_valeur","Valeurs Brutes","OC","(vide)"),VUE_KPI_FTTH!A1)</f>
        <v>3</v>
      </c>
      <c r="E35" s="71" t="str">
        <f>IFERROR(GETPIVOTDATA("valeur",VUE_KPI_FTTH!$A$7,"codeIndicateur","xxxvi","unite","Dénominateur","maille","Maille OI (offres commercialisées sur le marché de gros activé)","type_valeur","Valeurs Nettes","OC","(vide)"),VUE_KPI_FTTH!A1)</f>
        <v>N/A</v>
      </c>
      <c r="F35" s="72" t="str">
        <f>IFERROR(GETPIVOTDATA("valeur",VUE_KPI_FTTH!$A$7,"codeIndicateur","xxxvi","unite","Dénominateur","maille","Maille OI (offres commercialisées sur le marché de gros activé)","type_valeur","Valeurs Brutes","OC","(vide)"),VUE_KPI_FTTH!A1)</f>
        <v>N/A</v>
      </c>
      <c r="G35" s="71">
        <f>IFERROR(GETPIVOTDATA("valeur",VUE_KPI_FTTH!$A$7,"codeIndicateur","xxxvi","unite","Dénominateur","maille","Maille OI (offres commercialisées sur le marché de détail - Autofourniture)","type_valeur","Valeurs Nettes","OC","(vide)"),VUE_KPI_FTTH!A1)</f>
        <v>1</v>
      </c>
      <c r="H35" s="72">
        <f>IFERROR(GETPIVOTDATA("valeur",VUE_KPI_FTTH!$A$7,"codeIndicateur","xxxvi","unite","Dénominateur","maille","Maille OI (offres commercialisées sur le marché de détail - Autofourniture)","type_valeur","Valeurs Brutes","OC","(vide)"),VUE_KPI_FTTH!A1)</f>
        <v>1</v>
      </c>
      <c r="I35" s="79" t="e">
        <f t="shared" ca="1" si="0"/>
        <v>#NAME?</v>
      </c>
    </row>
    <row r="36" spans="1:9" ht="30" customHeight="1" x14ac:dyDescent="0.25">
      <c r="A36" s="127"/>
      <c r="B36" s="5" t="s">
        <v>3</v>
      </c>
      <c r="C36" s="73">
        <f t="shared" ref="C36:H36" si="9">IF(OR(C35="",C35="N/A",C35="NC",C35="ND"),"",C34/C35)</f>
        <v>0</v>
      </c>
      <c r="D36" s="73">
        <f t="shared" si="9"/>
        <v>0</v>
      </c>
      <c r="E36" s="73" t="str">
        <f t="shared" si="9"/>
        <v/>
      </c>
      <c r="F36" s="73" t="str">
        <f t="shared" si="9"/>
        <v/>
      </c>
      <c r="G36" s="73">
        <f t="shared" si="9"/>
        <v>0</v>
      </c>
      <c r="H36" s="73">
        <f t="shared" si="9"/>
        <v>0</v>
      </c>
      <c r="I36" s="79" t="e">
        <f t="shared" ca="1" si="0"/>
        <v>#NAME?</v>
      </c>
    </row>
    <row r="37" spans="1:9" ht="30" customHeight="1" x14ac:dyDescent="0.25">
      <c r="A37" s="80" t="s">
        <v>38</v>
      </c>
      <c r="B37" s="8" t="s">
        <v>76</v>
      </c>
      <c r="C37" s="47" t="str">
        <f>IFERROR(GETPIVOTDATA("valeur",VUE_KPI_FTTH!$A$7,"codeIndicateur","xx","unite","%","maille","Maille OI","type_valeur","Valeurs Nettes","OC","(vide)"),VUE_KPI_FTTH!A1)</f>
        <v>N/A</v>
      </c>
      <c r="D37" s="48" t="str">
        <f>IFERROR(GETPIVOTDATA("valeur",VUE_KPI_FTTH!$A$7,"codeIndicateur","xx","unite","%","maille","Maille OI","type_valeur","Valeurs Brutes","OC","(vide)"),VUE_KPI_FTTH!A1)</f>
        <v>N/A</v>
      </c>
      <c r="E37" s="47" t="str">
        <f>IFERROR(GETPIVOTDATA("valeur",VUE_KPI_FTTH!$A$7,"codeIndicateur","xx","unite","%","maille","Maille OI (offres commercialisées sur le marché de gros activé)","type_valeur","Valeurs Nettes","OC","(vide)"),VUE_KPI_FTTH!A1)</f>
        <v>N/A</v>
      </c>
      <c r="F37" s="48" t="str">
        <f>IFERROR(GETPIVOTDATA("valeur",VUE_KPI_FTTH!$A$7,"codeIndicateur","xx","unite","%","maille","Maille OI (offres commercialisées sur le marché de gros activé)","type_valeur","Valeurs Brutes","OC","(vide)"),VUE_KPI_FTTH!A1)</f>
        <v>N/A</v>
      </c>
      <c r="G37" s="47" t="str">
        <f>IFERROR(GETPIVOTDATA("valeur",VUE_KPI_FTTH!$A$7,"codeIndicateur","xx","unite","%","maille","Maille OI (offres commercialisées sur le marché de détail - Autofourniture)","type_valeur","Valeurs Nettes","OC","(vide)"),VUE_KPI_FTTH!A1)</f>
        <v>N/A</v>
      </c>
      <c r="H37" s="48" t="str">
        <f>IFERROR(GETPIVOTDATA("valeur",VUE_KPI_FTTH!$A$7,"codeIndicateur","xx","unite","%","maille","Maille OI (offres commercialisées sur le marché de détail - Autofourniture)","type_valeur","Valeurs Brutes","OC","(vide)"),VUE_KPI_FTTH!A1)</f>
        <v>N/A</v>
      </c>
      <c r="I37" s="79" t="e">
        <f t="shared" ca="1" si="0"/>
        <v>#NAME?</v>
      </c>
    </row>
    <row r="38" spans="1:9" ht="30" customHeight="1" x14ac:dyDescent="0.25">
      <c r="A38" s="132" t="s">
        <v>39</v>
      </c>
      <c r="B38" s="8" t="s">
        <v>1</v>
      </c>
      <c r="C38" s="69" t="str">
        <f>IFERROR(GETPIVOTDATA("valeur",VUE_KPI_FTTH!$A$7,"codeIndicateur","xxxviii","unite","Numérateur","maille","Maille OI","type_valeur","Valeurs Nettes","OC","(vide)"),VUE_KPI_FTTH!A1)</f>
        <v>N/A</v>
      </c>
      <c r="D38" s="70" t="str">
        <f>IFERROR(GETPIVOTDATA("valeur",VUE_KPI_FTTH!$A$7,"codeIndicateur","xxxviii","unite","Numérateur","maille","Maille OI","type_valeur","Valeurs Brutes","OC","(vide)"),VUE_KPI_FTTH!A1)</f>
        <v>N/A</v>
      </c>
      <c r="E38" s="69" t="str">
        <f>IFERROR(GETPIVOTDATA("valeur",VUE_KPI_FTTH!$A$7,"codeIndicateur","xxxviii","unite","Numérateur","maille","Maille OI (offres commercialisées sur le marché de gros activé)","type_valeur","Valeurs Nettes","OC","(vide)"),VUE_KPI_FTTH!A1)</f>
        <v>N/A</v>
      </c>
      <c r="F38" s="70" t="str">
        <f>IFERROR(GETPIVOTDATA("valeur",VUE_KPI_FTTH!$A$7,"codeIndicateur","xxxviii","unite","Numérateur","maille","Maille OI (offres commercialisées sur le marché de gros activé)","type_valeur","Valeurs Brutes","OC","(vide)"),VUE_KPI_FTTH!A1)</f>
        <v>N/A</v>
      </c>
      <c r="G38" s="69" t="str">
        <f>IFERROR(GETPIVOTDATA("valeur",VUE_KPI_FTTH!$A$7,"codeIndicateur","xxxviii","unite","Numérateur","maille","Maille OI (offres commercialisées sur le marché de détail - Autofourniture)","type_valeur","Valeurs Nettes","OC","(vide)"),VUE_KPI_FTTH!A1)</f>
        <v>N/A</v>
      </c>
      <c r="H38" s="70" t="str">
        <f>IFERROR(GETPIVOTDATA("valeur",VUE_KPI_FTTH!$A$7,"codeIndicateur","xxxviii","unite","Numérateur","maille","Maille OI (offres commercialisées sur le marché de détail - Autofourniture)","type_valeur","Valeurs Brutes","OC","(vide)"),VUE_KPI_FTTH!A1)</f>
        <v>N/A</v>
      </c>
      <c r="I38" s="79" t="e">
        <f t="shared" ca="1" si="0"/>
        <v>#NAME?</v>
      </c>
    </row>
    <row r="39" spans="1:9" ht="30" customHeight="1" x14ac:dyDescent="0.25">
      <c r="A39" s="133"/>
      <c r="B39" s="5" t="s">
        <v>2</v>
      </c>
      <c r="C39" s="71" t="str">
        <f>IFERROR(GETPIVOTDATA("valeur",VUE_KPI_FTTH!$A$7,"codeIndicateur","xxxviii","unite","Dénominateur","maille","Maille OI","type_valeur","Valeurs Nettes","OC","(vide)"),VUE_KPI_FTTH!A1)</f>
        <v>N/A</v>
      </c>
      <c r="D39" s="72" t="str">
        <f>IFERROR(GETPIVOTDATA("valeur",VUE_KPI_FTTH!$A$7,"codeIndicateur","xxxviii","unite","Dénominateur","maille","Maille OI","type_valeur","Valeurs Brutes","OC","(vide)"),VUE_KPI_FTTH!A1)</f>
        <v>N/A</v>
      </c>
      <c r="E39" s="71" t="str">
        <f>IFERROR(GETPIVOTDATA("valeur",VUE_KPI_FTTH!$A$7,"codeIndicateur","xxxviii","unite","Dénominateur","maille","Maille OI (offres commercialisées sur le marché de gros activé)","type_valeur","Valeurs Nettes","OC","(vide)"),VUE_KPI_FTTH!A1)</f>
        <v>N/A</v>
      </c>
      <c r="F39" s="72" t="str">
        <f>IFERROR(GETPIVOTDATA("valeur",VUE_KPI_FTTH!$A$7,"codeIndicateur","xxxviii","unite","Dénominateur","maille","Maille OI (offres commercialisées sur le marché de gros activé)","type_valeur","Valeurs Brutes","OC","(vide)"),VUE_KPI_FTTH!A1)</f>
        <v>N/A</v>
      </c>
      <c r="G39" s="71" t="str">
        <f>IFERROR(GETPIVOTDATA("valeur",VUE_KPI_FTTH!$A$7,"codeIndicateur","xxxviii","unite","Dénominateur","maille","Maille OI (offres commercialisées sur le marché de détail - Autofourniture)","type_valeur","Valeurs Nettes","OC","(vide)"),VUE_KPI_FTTH!A1)</f>
        <v>N/A</v>
      </c>
      <c r="H39" s="72" t="str">
        <f>IFERROR(GETPIVOTDATA("valeur",VUE_KPI_FTTH!$A$7,"codeIndicateur","xxxviii","unite","Dénominateur","maille","Maille OI (offres commercialisées sur le marché de détail - Autofourniture)","type_valeur","Valeurs Brutes","OC","(vide)"),VUE_KPI_FTTH!A1)</f>
        <v>N/A</v>
      </c>
      <c r="I39" s="79" t="e">
        <f t="shared" ca="1" si="0"/>
        <v>#NAME?</v>
      </c>
    </row>
    <row r="40" spans="1:9" ht="30" customHeight="1" x14ac:dyDescent="0.25">
      <c r="A40" s="127"/>
      <c r="B40" s="5" t="s">
        <v>3</v>
      </c>
      <c r="C40" s="73" t="str">
        <f t="shared" ref="C40:H40" si="10">IF(OR(C39="",C39="N/A",C39="NC",C39="ND"),"",C38/C39)</f>
        <v/>
      </c>
      <c r="D40" s="73" t="str">
        <f t="shared" si="10"/>
        <v/>
      </c>
      <c r="E40" s="73" t="str">
        <f t="shared" si="10"/>
        <v/>
      </c>
      <c r="F40" s="73" t="str">
        <f t="shared" si="10"/>
        <v/>
      </c>
      <c r="G40" s="73" t="str">
        <f t="shared" si="10"/>
        <v/>
      </c>
      <c r="H40" s="73" t="str">
        <f t="shared" si="10"/>
        <v/>
      </c>
      <c r="I40" s="79" t="e">
        <f t="shared" ca="1" si="0"/>
        <v>#NAME?</v>
      </c>
    </row>
  </sheetData>
  <sheetProtection sheet="1" objects="1" scenarios="1" selectLockedCells="1"/>
  <mergeCells count="18">
    <mergeCell ref="A23:A25"/>
    <mergeCell ref="A33:H33"/>
    <mergeCell ref="A34:A36"/>
    <mergeCell ref="A38:A40"/>
    <mergeCell ref="A26:H26"/>
    <mergeCell ref="A27:A29"/>
    <mergeCell ref="A30:A32"/>
    <mergeCell ref="A18:A19"/>
    <mergeCell ref="A20:A22"/>
    <mergeCell ref="A16:A17"/>
    <mergeCell ref="A7:A9"/>
    <mergeCell ref="A10:A12"/>
    <mergeCell ref="A13:A15"/>
    <mergeCell ref="C1:D1"/>
    <mergeCell ref="E1:F1"/>
    <mergeCell ref="G1:H1"/>
    <mergeCell ref="A3:H3"/>
    <mergeCell ref="A4:A6"/>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0"/>
  <sheetViews>
    <sheetView showGridLines="0" tabSelected="1" topLeftCell="A10" zoomScaleNormal="100" workbookViewId="0">
      <selection activeCell="H16" sqref="H16"/>
    </sheetView>
  </sheetViews>
  <sheetFormatPr baseColWidth="10" defaultRowHeight="15" x14ac:dyDescent="0.25"/>
  <cols>
    <col min="1" max="1" width="57.7109375" style="86" customWidth="1"/>
    <col min="2" max="2" width="16.7109375" style="86" customWidth="1"/>
    <col min="3" max="10" width="11.42578125" style="86"/>
    <col min="11" max="11" width="12.28515625" style="86" customWidth="1"/>
    <col min="12" max="12" width="11.42578125" style="86"/>
  </cols>
  <sheetData>
    <row r="1" spans="1:13" x14ac:dyDescent="0.25">
      <c r="A1" s="4"/>
      <c r="B1" s="4"/>
      <c r="C1" s="126" t="s">
        <v>83</v>
      </c>
      <c r="D1" s="126"/>
      <c r="E1" s="126" t="s">
        <v>84</v>
      </c>
      <c r="F1" s="126"/>
      <c r="G1" s="126" t="s">
        <v>85</v>
      </c>
      <c r="H1" s="126"/>
      <c r="I1" s="126" t="s">
        <v>86</v>
      </c>
      <c r="J1" s="126"/>
      <c r="K1" s="126" t="s">
        <v>87</v>
      </c>
      <c r="L1" s="126"/>
    </row>
    <row r="2" spans="1:13" x14ac:dyDescent="0.25">
      <c r="A2" s="4"/>
      <c r="B2" s="4"/>
      <c r="C2" s="7" t="s">
        <v>68</v>
      </c>
      <c r="D2" s="7" t="s">
        <v>65</v>
      </c>
      <c r="E2" s="7" t="s">
        <v>68</v>
      </c>
      <c r="F2" s="7" t="s">
        <v>65</v>
      </c>
      <c r="G2" s="7" t="s">
        <v>68</v>
      </c>
      <c r="H2" s="7" t="s">
        <v>65</v>
      </c>
      <c r="I2" s="7" t="s">
        <v>68</v>
      </c>
      <c r="J2" s="7" t="s">
        <v>65</v>
      </c>
      <c r="K2" s="7" t="s">
        <v>68</v>
      </c>
      <c r="L2" s="7" t="s">
        <v>65</v>
      </c>
    </row>
    <row r="3" spans="1:13" x14ac:dyDescent="0.25">
      <c r="A3" s="137" t="s">
        <v>4</v>
      </c>
      <c r="B3" s="138"/>
      <c r="C3" s="138"/>
      <c r="D3" s="138"/>
      <c r="E3" s="138"/>
      <c r="F3" s="138"/>
      <c r="G3" s="138"/>
      <c r="H3" s="138"/>
      <c r="I3" s="138"/>
      <c r="J3" s="138"/>
      <c r="K3" s="138"/>
      <c r="L3" s="138"/>
      <c r="M3" s="77"/>
    </row>
    <row r="4" spans="1:13" ht="15" customHeight="1" x14ac:dyDescent="0.25">
      <c r="A4" s="133" t="s">
        <v>42</v>
      </c>
      <c r="B4" s="8" t="s">
        <v>1</v>
      </c>
      <c r="C4" s="27"/>
      <c r="D4" s="28"/>
      <c r="E4" s="28"/>
      <c r="F4" s="28"/>
      <c r="G4" s="28"/>
      <c r="H4" s="28"/>
      <c r="I4" s="28"/>
      <c r="J4" s="28"/>
      <c r="K4" s="28"/>
      <c r="L4" s="29"/>
      <c r="M4" s="77"/>
    </row>
    <row r="5" spans="1:13" x14ac:dyDescent="0.25">
      <c r="A5" s="133"/>
      <c r="B5" s="5" t="s">
        <v>2</v>
      </c>
      <c r="C5" s="30"/>
      <c r="D5" s="31"/>
      <c r="E5" s="31"/>
      <c r="F5" s="31"/>
      <c r="G5" s="31"/>
      <c r="H5" s="31"/>
      <c r="I5" s="31"/>
      <c r="J5" s="31"/>
      <c r="K5" s="31"/>
      <c r="L5" s="32"/>
      <c r="M5" s="77"/>
    </row>
    <row r="6" spans="1:13" x14ac:dyDescent="0.25">
      <c r="A6" s="127"/>
      <c r="B6" s="5" t="s">
        <v>3</v>
      </c>
      <c r="C6" s="30"/>
      <c r="D6" s="31"/>
      <c r="E6" s="31"/>
      <c r="F6" s="31"/>
      <c r="G6" s="31"/>
      <c r="H6" s="31"/>
      <c r="I6" s="31"/>
      <c r="J6" s="31"/>
      <c r="K6" s="31"/>
      <c r="L6" s="32"/>
      <c r="M6" s="77"/>
    </row>
    <row r="7" spans="1:13" ht="15" customHeight="1" x14ac:dyDescent="0.25">
      <c r="A7" s="134" t="s">
        <v>41</v>
      </c>
      <c r="B7" s="8" t="s">
        <v>1</v>
      </c>
      <c r="C7" s="30"/>
      <c r="D7" s="31"/>
      <c r="E7" s="31"/>
      <c r="F7" s="31"/>
      <c r="G7" s="31"/>
      <c r="H7" s="31"/>
      <c r="I7" s="31"/>
      <c r="J7" s="31"/>
      <c r="K7" s="31"/>
      <c r="L7" s="32"/>
      <c r="M7" s="77"/>
    </row>
    <row r="8" spans="1:13" x14ac:dyDescent="0.25">
      <c r="A8" s="135"/>
      <c r="B8" s="5" t="s">
        <v>2</v>
      </c>
      <c r="C8" s="30"/>
      <c r="D8" s="31"/>
      <c r="E8" s="31"/>
      <c r="F8" s="31"/>
      <c r="G8" s="31"/>
      <c r="H8" s="31"/>
      <c r="I8" s="31"/>
      <c r="J8" s="31"/>
      <c r="K8" s="31"/>
      <c r="L8" s="32"/>
      <c r="M8" s="77"/>
    </row>
    <row r="9" spans="1:13" x14ac:dyDescent="0.25">
      <c r="A9" s="136"/>
      <c r="B9" s="5" t="s">
        <v>3</v>
      </c>
      <c r="C9" s="33"/>
      <c r="D9" s="34"/>
      <c r="E9" s="34"/>
      <c r="F9" s="34"/>
      <c r="G9" s="34"/>
      <c r="H9" s="34"/>
      <c r="I9" s="34"/>
      <c r="J9" s="34"/>
      <c r="K9" s="34"/>
      <c r="L9" s="35"/>
      <c r="M9" s="77"/>
    </row>
    <row r="10" spans="1:13" ht="15" customHeight="1" x14ac:dyDescent="0.25">
      <c r="A10" s="134" t="s">
        <v>40</v>
      </c>
      <c r="B10" s="8" t="s">
        <v>1</v>
      </c>
      <c r="C10" s="71" t="str">
        <f>IFERROR(GETPIVOTDATA("valeur",VUE_KPI_FTTH!$A$7,"codeIndicateur","xxviii","unite","Numérateur","maille","Maille OI","type_valeur","Valeurs Nettes","OC","BOUY"),VUE_KPI_FTTH!A1)</f>
        <v>N/A</v>
      </c>
      <c r="D10" s="72">
        <f>IFERROR(GETPIVOTDATA("valeur",VUE_KPI_FTTH!$A$7,"codeIndicateur","xxviii","unite","Numérateur","maille","Maille OI","type_valeur","Valeurs Brutes","OC","BOUY"),VUE_KPI_FTTH!A2)</f>
        <v>0</v>
      </c>
      <c r="E10" s="71" t="str">
        <f>IFERROR(GETPIVOTDATA("valeur",VUE_KPI_FTTH!$A$7,"codeIndicateur","xxviii","unite","Numérateur","maille","Maille OI","type_valeur","Valeurs Nettes","OC","FREE"),VUE_KPI_FTTH!A1)</f>
        <v>N/A</v>
      </c>
      <c r="F10" s="72">
        <f>IFERROR(GETPIVOTDATA("valeur",VUE_KPI_FTTH!$A$7,"codeIndicateur","xxviii","unite","Numérateur","maille","Maille OI","type_valeur","Valeurs Brutes","OC","FREE"),VUE_KPI_FTTH!A2)</f>
        <v>0</v>
      </c>
      <c r="G10" s="71" t="str">
        <f>IFERROR(GETPIVOTDATA("valeur",VUE_KPI_FTTH!$A$7,"codeIndicateur","xxviii","unite","Numérateur","maille","Maille OI","type_valeur","Valeurs Nettes","OC","FTEL"),VUE_KPI_FTTH!A1)</f>
        <v>N/A</v>
      </c>
      <c r="H10" s="72">
        <f>IFERROR(GETPIVOTDATA("valeur",VUE_KPI_FTTH!$A$7,"codeIndicateur","xxviii","unite","Numérateur","maille","Maille OI","type_valeur","Valeurs Brutes","OC","FTEL"),VUE_KPI_FTTH!A2)</f>
        <v>0</v>
      </c>
      <c r="I10" s="71" t="str">
        <f>IFERROR(GETPIVOTDATA("valeur",VUE_KPI_FTTH!$A$7,"codeIndicateur","xxviii","unite","Numérateur","maille","Maille OI","type_valeur","Valeurs Nettes","OC","SFRA"),VUE_KPI_FTTH!A1)</f>
        <v>N/A</v>
      </c>
      <c r="J10" s="72">
        <f>IFERROR(GETPIVOTDATA("valeur",VUE_KPI_FTTH!$A$7,"codeIndicateur","xxviii","unite","Numérateur","maille","Maille OI","type_valeur","Valeurs Brutes","OC","SFRA"),VUE_KPI_FTTH!A2)</f>
        <v>0</v>
      </c>
      <c r="K10" s="71" t="str">
        <f>IFERROR(GETPIVOTDATA("valeur",VUE_KPI_FTTH!$A$7,"codeIndicateur","xxviii","unite","Numérateur","maille","Maille OI","type_valeur","Valeurs Nettes","OC","AUTR"),VUE_KPI_FTTH!A1)</f>
        <v>N/A</v>
      </c>
      <c r="L10" s="72">
        <f>IFERROR(GETPIVOTDATA("valeur",VUE_KPI_FTTH!$A$7,"codeIndicateur","xxviii","unite","Numérateur","maille","Maille OI","type_valeur","Valeurs Brutes","OC","AUTR"),VUE_KPI_FTTH!A2)</f>
        <v>0</v>
      </c>
      <c r="M10" s="77" t="e">
        <f t="shared" ref="M10:M36" ca="1" si="0" xml:space="preserve">
_xlfn.IFS(
  OR(B10="Taux",B10=""), "",
  NOT(AND(
    OR(ISBLANK(C10),ISNUMBER(C10)),
    OR(ISBLANK(D10),ISNUMBER(D10)),
    OR(ISBLANK(E10),ISNUMBER(E10)),
    OR(ISBLANK(F10),ISNUMBER(F10)),
    OR(ISBLANK(G10),ISNUMBER(G10)),
    OR(ISBLANK(H10),ISNUMBER(H10)),
    IF(I$1="",TRUE,OR(ISBLANK(I10),ISNUMBER(I10))),
    IF(I$1="",TRUE,OR(ISBLANK(J10),ISNUMBER(J10))),
    IF(K$1="",TRUE,OR(ISBLANK(K10),ISNUMBER(K10))),
    IF(K$1="",TRUE,OR(ISBLANK(L10),ISNUMBER(L10)))
  )),
  "Nombres attendus !",
  AND( OR(B10="Numérateur",B10="Dénominateur"),
    NOT(AND(
      OR(ISBLANK(C10),C10=ROUND(C10,0)),
      OR(ISBLANK(D10),D10=ROUND(D10,0)),
      OR(ISBLANK(E10),E10=ROUND(E10,0)),
      OR(ISBLANK(F10),F10=ROUND(F10,0)),
      OR(ISBLANK(G10),G10=ROUND(G10,0)),
      OR(ISBLANK(H10),H10=ROUND(H10,0)),
      IF(I$1="",TRUE,OR(ISBLANK(I10),I10=ROUND(I10,0))),
      IF(I$1="",TRUE,OR(ISBLANK(J10),J10=ROUND(J10,0))),
      IF(K$1="",TRUE,OR(ISBLANK(K10),K10=ROUND(K10,0))),
      IF(K$1="",TRUE,OR(ISBLANK(L10),L10=ROUND(L10,0)))
    ))
  ),
  "Entiers attendus !",
  AND(B10&lt;&gt;"Numérateur",B10&lt;&gt;"Dénominateur",
  NOT(AND(
    OR(ISBLANK(C10),C10=ROUND(C10,2)),
    OR(ISBLANK(D10),D10=ROUND(D10,2)),
    OR(ISBLANK(E10),E10=ROUND(E10,2)),
    OR(ISBLANK(F10),F10=ROUND(F10,2)),
    OR(ISBLANK(G10),G10=ROUND(G10,2)),
    OR(ISBLANK(H10),H10=ROUND(H10,2)),
    IF(I$1="",TRUE,OR(ISBLANK(I10),I10=ROUND(I10,2))),
    IF(I$1="",TRUE,OR(ISBLANK(J10),J10=ROUND(J10,2))),
    IF(K$1="",TRUE,OR(ISBLANK(K10),K10=ROUND(K10,2))),
    IF(K$1="",TRUE,OR(ISBLANK(L10),L10=ROUND(L10,2)))
  ))),
  "Précision supérieure à 2 décimales",
  IF(I$1="",MIN(C10:H10),IF(K$1="",MIN(C10:J10),MIN(C10:L10)))&lt;0, "Nombres positifs attendus !",
  AND(B10="Dénominateur",
  NOT(AND(
    OR(ISBLANK(C10),C10&gt;0),
    OR(ISBLANK(D10),D10&gt;0),
    OR(ISBLANK(E10),E10&gt;0),
    OR(ISBLANK(F10),F10&gt;0),
    OR(ISBLANK(G10),G10&gt;0),
    OR(ISBLANK(H10),H10&gt;0),
    IF(I$1="",TRUE,OR(ISBLANK(I10),I10&gt;0)),
    IF(I$1="",TRUE,OR(ISBLANK(J10),J10&gt;0)),
    IF(K$1="",TRUE,OR(ISBLANK(K10),K10&gt;0)),
    IF(K$1="",TRUE,OR(ISBLANK(L10),L10&gt;0))
  ))),
  "Nombres strictement positifs attendus !",
  IF(B10="Dénominateur",
  NOT(AND(
    OR(ISBLANK(C9),ISBLANK(C10),C10&gt;=C9),
    OR(ISBLANK(D9),ISBLANK(D10),D10&gt;=D9),
    OR(ISBLANK(E9),ISBLANK(E10),E10&gt;=E9),
    OR(ISBLANK(F9),ISBLANK(F10),F10&gt;=F9),
    OR(ISBLANK(G9),ISBLANK(G10),G10&gt;=G9),
    OR(ISBLANK(H9),ISBLANK(H10),H10&gt;=H9),
    IF(I$1="",TRUE,OR(ISBLANK(I9),ISBLANK(I10),I10&gt;=I9)),
    IF(I$1="",TRUE,OR(ISBLANK(J9),ISBLANK(J10),J10&gt;=J9)),
    IF(K$1="",TRUE,OR(ISBLANK(K9),ISBLANK(K10),K10&gt;=K9)),
    IF(K$1="",TRUE,OR(ISBLANK(L9),ISBLANK(L10),L10&gt;=L9))
  )),FALSE),
  "Numérateur supérieur à ce dénominateur !",
  LEFT( IF(B10="Dénominateur",A9,A10),12) = "(Facultatif)","",
  IF(I$1="",COUNTBLANK(C10:H10),COUNTBLANK(C10:J10))&gt;0,
  _xlfn.CONCAT("Encore ",IF(I$1="",COUNTBLANK(C10:H10),COUNTBLANK(C10:J10)), " cellule(s) requise(s)"),
  TRUE,""
)</f>
        <v>#NAME?</v>
      </c>
    </row>
    <row r="11" spans="1:13" x14ac:dyDescent="0.25">
      <c r="A11" s="135"/>
      <c r="B11" s="5" t="s">
        <v>2</v>
      </c>
      <c r="C11" s="71" t="str">
        <f>IFERROR(GETPIVOTDATA("valeur",VUE_KPI_FTTH!$A$7,"codeIndicateur","xxviii","unite","Dénominateur","maille","Maille OI","type_valeur","Valeurs Nettes","OC","BOUY"),VUE_KPI_FTTH!A1)</f>
        <v>N/A</v>
      </c>
      <c r="D11" s="72">
        <f>IFERROR(GETPIVOTDATA("valeur",VUE_KPI_FTTH!$A$7,"codeIndicateur","xxviii","unite","Dénominateur","maille","Maille OI","type_valeur","Valeurs Brutes","OC","BOUY"),VUE_KPI_FTTH!A2)</f>
        <v>0</v>
      </c>
      <c r="E11" s="71" t="str">
        <f>IFERROR(GETPIVOTDATA("valeur",VUE_KPI_FTTH!$A$7,"codeIndicateur","xxviii","unite","Dénominateur","maille","Maille OI","type_valeur","Valeurs Nettes","OC","FREE"),VUE_KPI_FTTH!A1)</f>
        <v>N/A</v>
      </c>
      <c r="F11" s="72">
        <f>IFERROR(GETPIVOTDATA("valeur",VUE_KPI_FTTH!$A$7,"codeIndicateur","xxviii","unite","Dénominateur","maille","Maille OI","type_valeur","Valeurs Brutes","OC","FREE"),VUE_KPI_FTTH!A2)</f>
        <v>172</v>
      </c>
      <c r="G11" s="71" t="str">
        <f>IFERROR(GETPIVOTDATA("valeur",VUE_KPI_FTTH!$A$7,"codeIndicateur","xxviii","unite","Dénominateur","maille","Maille OI","type_valeur","Valeurs Nettes","OC","FTEL"),VUE_KPI_FTTH!A1)</f>
        <v>N/A</v>
      </c>
      <c r="H11" s="72">
        <f>IFERROR(GETPIVOTDATA("valeur",VUE_KPI_FTTH!$A$7,"codeIndicateur","xxviii","unite","Dénominateur","maille","Maille OI","type_valeur","Valeurs Brutes","OC","FTEL"),VUE_KPI_FTTH!A2)</f>
        <v>618</v>
      </c>
      <c r="I11" s="71" t="str">
        <f>IFERROR(GETPIVOTDATA("valeur",VUE_KPI_FTTH!$A$7,"codeIndicateur","xxviii","unite","Dénominateur","maille","Maille OI","type_valeur","Valeurs Nettes","OC","SFRA"),VUE_KPI_FTTH!A1)</f>
        <v>N/A</v>
      </c>
      <c r="J11" s="72">
        <f>IFERROR(GETPIVOTDATA("valeur",VUE_KPI_FTTH!$A$7,"codeIndicateur","xxviii","unite","Dénominateur","maille","Maille OI","type_valeur","Valeurs Brutes","OC","SFRA"),VUE_KPI_FTTH!A2)</f>
        <v>77</v>
      </c>
      <c r="K11" s="71" t="str">
        <f>IFERROR(GETPIVOTDATA("valeur",VUE_KPI_FTTH!$A$7,"codeIndicateur","xxviii","unite","Dénominateur","maille","Maille OI","type_valeur","Valeurs Nettes","OC","AUTR"),VUE_KPI_FTTH!A1)</f>
        <v>N/A</v>
      </c>
      <c r="L11" s="72">
        <f>IFERROR(GETPIVOTDATA("valeur",VUE_KPI_FTTH!$A$7,"codeIndicateur","xxviii","unite","Dénominateur","maille","Maille OI","type_valeur","Valeurs Brutes","OC","AUTR"),VUE_KPI_FTTH!A2)</f>
        <v>0</v>
      </c>
      <c r="M11" s="77" t="e">
        <f t="shared" ca="1" si="0"/>
        <v>#NAME?</v>
      </c>
    </row>
    <row r="12" spans="1:13" x14ac:dyDescent="0.25">
      <c r="A12" s="136"/>
      <c r="B12" s="5" t="s">
        <v>3</v>
      </c>
      <c r="C12" s="73" t="str">
        <f>IF(OR(C11="",C11="N/A",C11="NC",C11="ND"),"",C10/C11)</f>
        <v/>
      </c>
      <c r="D12" s="73" t="e">
        <f t="shared" ref="D12:L12" si="1">IF(OR(D11="",D11="N/A",D11="NC",D11="ND"),"",D10/D11)</f>
        <v>#DIV/0!</v>
      </c>
      <c r="E12" s="73" t="str">
        <f t="shared" si="1"/>
        <v/>
      </c>
      <c r="F12" s="73">
        <f t="shared" si="1"/>
        <v>0</v>
      </c>
      <c r="G12" s="73" t="str">
        <f t="shared" si="1"/>
        <v/>
      </c>
      <c r="H12" s="73">
        <f t="shared" si="1"/>
        <v>0</v>
      </c>
      <c r="I12" s="73" t="str">
        <f t="shared" si="1"/>
        <v/>
      </c>
      <c r="J12" s="73">
        <f t="shared" si="1"/>
        <v>0</v>
      </c>
      <c r="K12" s="73" t="str">
        <f t="shared" si="1"/>
        <v/>
      </c>
      <c r="L12" s="73" t="e">
        <f t="shared" si="1"/>
        <v>#DIV/0!</v>
      </c>
      <c r="M12" s="77" t="e">
        <f t="shared" ca="1" si="0"/>
        <v>#NAME?</v>
      </c>
    </row>
    <row r="13" spans="1:13" ht="15" customHeight="1" x14ac:dyDescent="0.25">
      <c r="A13" s="132" t="s">
        <v>33</v>
      </c>
      <c r="B13" s="8" t="s">
        <v>1</v>
      </c>
      <c r="C13" s="69" t="str">
        <f>IFERROR(GETPIVOTDATA("valeur",VUE_KPI_FTTH!$A$7,"codeIndicateur","xxix","unite","Numérateur","maille","Maille OI","type_valeur","Valeurs Nettes","OC","BOUY"),VUE_KPI_FTTH!$A$1)</f>
        <v>N/A</v>
      </c>
      <c r="D13" s="70">
        <f>IFERROR(GETPIVOTDATA("valeur",VUE_KPI_FTTH!$A$7,"codeIndicateur","xxix","unite","Numérateur","maille","Maille OI","type_valeur","Valeurs Brutes","OC","BOUY"),VUE_KPI_FTTH!$A$2)</f>
        <v>0</v>
      </c>
      <c r="E13" s="69" t="str">
        <f>IFERROR(GETPIVOTDATA("valeur",VUE_KPI_FTTH!$A$7,"codeIndicateur","xxix","unite","Numérateur","maille","Maille OI","type_valeur","Valeurs Nettes","OC","FREE"),VUE_KPI_FTTH!$A$1)</f>
        <v>N/A</v>
      </c>
      <c r="F13" s="70">
        <f>IFERROR(GETPIVOTDATA("valeur",VUE_KPI_FTTH!$A$7,"codeIndicateur","xxix","unite","Numérateur","maille","Maille OI","type_valeur","Valeurs Brutes","OC","FREE"),VUE_KPI_FTTH!$A$2)</f>
        <v>14</v>
      </c>
      <c r="G13" s="69" t="str">
        <f>IFERROR(GETPIVOTDATA("valeur",VUE_KPI_FTTH!$A$7,"codeIndicateur","xxix","unite","Numérateur","maille","Maille OI","type_valeur","Valeurs Nettes","OC","FTEL"),VUE_KPI_FTTH!$A$1)</f>
        <v>N/A</v>
      </c>
      <c r="H13" s="70">
        <f>IFERROR(GETPIVOTDATA("valeur",VUE_KPI_FTTH!$A$7,"codeIndicateur","xxix","unite","Numérateur","maille","Maille OI","type_valeur","Valeurs Brutes","OC","FTEL"),VUE_KPI_FTTH!$A$2)</f>
        <v>1</v>
      </c>
      <c r="I13" s="69" t="str">
        <f>IFERROR(GETPIVOTDATA("valeur",VUE_KPI_FTTH!$A$7,"codeIndicateur","xxix","unite","Numérateur","maille","Maille OI","type_valeur","Valeurs Nettes","OC","SFRA"),VUE_KPI_FTTH!$A$1)</f>
        <v>N/A</v>
      </c>
      <c r="J13" s="70">
        <f>IFERROR(GETPIVOTDATA("valeur",VUE_KPI_FTTH!$A$7,"codeIndicateur","xxix","unite","Numérateur","maille","Maille OI","type_valeur","Valeurs Brutes","OC","SFRA"),VUE_KPI_FTTH!$A$2)</f>
        <v>1</v>
      </c>
      <c r="K13" s="69" t="str">
        <f>IFERROR(GETPIVOTDATA("valeur",VUE_KPI_FTTH!$A$7,"codeIndicateur","xxix","unite","Numérateur","maille","Maille OI","type_valeur","Valeurs Nettes","OC","AUTR"),VUE_KPI_FTTH!$A$1)</f>
        <v>N/A</v>
      </c>
      <c r="L13" s="70">
        <f>IFERROR(GETPIVOTDATA("valeur",VUE_KPI_FTTH!$A$7,"codeIndicateur","xxix","unite","Numérateur","maille","Maille OI","type_valeur","Valeurs Brutes","OC","AUTR"),VUE_KPI_FTTH!$A$2)</f>
        <v>0</v>
      </c>
      <c r="M13" s="77" t="e">
        <f t="shared" ca="1" si="0"/>
        <v>#NAME?</v>
      </c>
    </row>
    <row r="14" spans="1:13" x14ac:dyDescent="0.25">
      <c r="A14" s="133"/>
      <c r="B14" s="5" t="s">
        <v>2</v>
      </c>
      <c r="C14" s="69" t="str">
        <f>IFERROR(GETPIVOTDATA("valeur",VUE_KPI_FTTH!$A$7,"codeIndicateur","xxix","unite","Dénominateur","maille","Maille OI","type_valeur","Valeurs Nettes","OC","BOUY"),VUE_KPI_FTTH!$A$1)</f>
        <v>N/A</v>
      </c>
      <c r="D14" s="70">
        <f>IFERROR(GETPIVOTDATA("valeur",VUE_KPI_FTTH!$A$7,"codeIndicateur","xxix","unite","Dénominateur","maille","Maille OI","type_valeur","Valeurs Brutes","OC","BOUY"),VUE_KPI_FTTH!$A$2)</f>
        <v>0</v>
      </c>
      <c r="E14" s="69" t="str">
        <f>IFERROR(GETPIVOTDATA("valeur",VUE_KPI_FTTH!$A$7,"codeIndicateur","xxix","unite","Dénominateur","maille","Maille OI","type_valeur","Valeurs Nettes","OC","FREE"),VUE_KPI_FTTH!$A$1)</f>
        <v>N/A</v>
      </c>
      <c r="F14" s="70">
        <f>IFERROR(GETPIVOTDATA("valeur",VUE_KPI_FTTH!$A$7,"codeIndicateur","xxix","unite","Dénominateur","maille","Maille OI","type_valeur","Valeurs Brutes","OC","FREE"),VUE_KPI_FTTH!$A$2)</f>
        <v>183</v>
      </c>
      <c r="G14" s="69" t="str">
        <f>IFERROR(GETPIVOTDATA("valeur",VUE_KPI_FTTH!$A$7,"codeIndicateur","xxix","unite","Dénominateur","maille","Maille OI","type_valeur","Valeurs Nettes","OC","FTEL"),VUE_KPI_FTTH!$A$1)</f>
        <v>N/A</v>
      </c>
      <c r="H14" s="70">
        <f>IFERROR(GETPIVOTDATA("valeur",VUE_KPI_FTTH!$A$7,"codeIndicateur","xxix","unite","Dénominateur","maille","Maille OI","type_valeur","Valeurs Brutes","OC","FTEL"),VUE_KPI_FTTH!$A$2)</f>
        <v>576</v>
      </c>
      <c r="I14" s="69" t="str">
        <f>IFERROR(GETPIVOTDATA("valeur",VUE_KPI_FTTH!$A$7,"codeIndicateur","xxix","unite","Dénominateur","maille","Maille OI","type_valeur","Valeurs Nettes","OC","SFRA"),VUE_KPI_FTTH!$A$1)</f>
        <v>N/A</v>
      </c>
      <c r="J14" s="70">
        <f>IFERROR(GETPIVOTDATA("valeur",VUE_KPI_FTTH!$A$7,"codeIndicateur","xxix","unite","Dénominateur","maille","Maille OI","type_valeur","Valeurs Brutes","OC","SFRA"),VUE_KPI_FTTH!$A$2)</f>
        <v>78</v>
      </c>
      <c r="K14" s="69" t="str">
        <f>IFERROR(GETPIVOTDATA("valeur",VUE_KPI_FTTH!$A$7,"codeIndicateur","xxix","unite","Dénominateur","maille","Maille OI","type_valeur","Valeurs Nettes","OC","AUTR"),VUE_KPI_FTTH!$A$1)</f>
        <v>N/A</v>
      </c>
      <c r="L14" s="70">
        <f>IFERROR(GETPIVOTDATA("valeur",VUE_KPI_FTTH!$A$7,"codeIndicateur","xxix","unite","Dénominateur","maille","Maille OI","type_valeur","Valeurs Brutes","OC","AUTR"),VUE_KPI_FTTH!$A$2)</f>
        <v>0</v>
      </c>
      <c r="M14" s="77" t="e">
        <f t="shared" ca="1" si="0"/>
        <v>#NAME?</v>
      </c>
    </row>
    <row r="15" spans="1:13" x14ac:dyDescent="0.25">
      <c r="A15" s="127"/>
      <c r="B15" s="5" t="s">
        <v>3</v>
      </c>
      <c r="C15" s="73" t="str">
        <f>IF(OR(C14="",C14="N/A",C14="NC",C14="ND"),"",C13/C14)</f>
        <v/>
      </c>
      <c r="D15" s="73" t="e">
        <f t="shared" ref="D15" si="2">IF(OR(D14="",D14="N/A",D14="NC",D14="ND"),"",D13/D14)</f>
        <v>#DIV/0!</v>
      </c>
      <c r="E15" s="73" t="str">
        <f t="shared" ref="E15" si="3">IF(OR(E14="",E14="N/A",E14="NC",E14="ND"),"",E13/E14)</f>
        <v/>
      </c>
      <c r="F15" s="73">
        <f t="shared" ref="F15" si="4">IF(OR(F14="",F14="N/A",F14="NC",F14="ND"),"",F13/F14)</f>
        <v>7.650273224043716E-2</v>
      </c>
      <c r="G15" s="73" t="str">
        <f t="shared" ref="G15" si="5">IF(OR(G14="",G14="N/A",G14="NC",G14="ND"),"",G13/G14)</f>
        <v/>
      </c>
      <c r="H15" s="73">
        <f t="shared" ref="H15" si="6">IF(OR(H14="",H14="N/A",H14="NC",H14="ND"),"",H13/H14)</f>
        <v>1.736111111111111E-3</v>
      </c>
      <c r="I15" s="73" t="str">
        <f t="shared" ref="I15" si="7">IF(OR(I14="",I14="N/A",I14="NC",I14="ND"),"",I13/I14)</f>
        <v/>
      </c>
      <c r="J15" s="73">
        <f t="shared" ref="J15" si="8">IF(OR(J14="",J14="N/A",J14="NC",J14="ND"),"",J13/J14)</f>
        <v>1.282051282051282E-2</v>
      </c>
      <c r="K15" s="73" t="str">
        <f t="shared" ref="K15" si="9">IF(OR(K14="",K14="N/A",K14="NC",K14="ND"),"",K13/K14)</f>
        <v/>
      </c>
      <c r="L15" s="73" t="e">
        <f t="shared" ref="L15" si="10">IF(OR(L14="",L14="N/A",L14="NC",L14="ND"),"",L13/L14)</f>
        <v>#DIV/0!</v>
      </c>
      <c r="M15" s="77" t="e">
        <f t="shared" ca="1" si="0"/>
        <v>#NAME?</v>
      </c>
    </row>
    <row r="16" spans="1:13" x14ac:dyDescent="0.25">
      <c r="A16" s="132" t="s">
        <v>43</v>
      </c>
      <c r="B16" s="5" t="s">
        <v>75</v>
      </c>
      <c r="C16" s="93" t="str">
        <f>IFERROR(GETPIVOTDATA("valeur",VUE_KPI_FTTH!$A$7,"codeIndicateur","xxx","unite","50e centile","maille","Maille OI","type_valeur","Valeurs Nettes","OC","BOUY"),VUE_KPI_FTTH!A1)</f>
        <v>N/A</v>
      </c>
      <c r="D16" s="94" t="str">
        <f>IFERROR(GETPIVOTDATA("valeur",VUE_KPI_FTTH!$A$7,"codeIndicateur","xxx","unite","50e centile","maille","Maille OI","type_valeur","Valeurs Brutes","OC","BOUY"),VUE_KPI_FTTH!A1)</f>
        <v>N/A</v>
      </c>
      <c r="E16" s="93" t="str">
        <f>IFERROR(GETPIVOTDATA("valeur",VUE_KPI_FTTH!$A$7,"codeIndicateur","xxx","unite","50e centile","maille","Maille OI","type_valeur","Valeurs Nettes","OC","FREE"),VUE_KPI_FTTH!A1)</f>
        <v>N/A</v>
      </c>
      <c r="F16" s="94">
        <f>IFERROR(GETPIVOTDATA("valeur",VUE_KPI_FTTH!$A$7,"codeIndicateur","xxx","unite","50e centile","maille","Maille OI","type_valeur","Valeurs Brutes","OC","FREE"),VUE_KPI_FTTH!A1)</f>
        <v>8.5</v>
      </c>
      <c r="G16" s="93" t="str">
        <f>IFERROR(GETPIVOTDATA("valeur",VUE_KPI_FTTH!$A$7,"codeIndicateur","xxx","unite","50e centile","maille","Maille OI","type_valeur","Valeurs Nettes","OC","FTEL"),VUE_KPI_FTTH!A1)</f>
        <v>N/A</v>
      </c>
      <c r="H16" s="94">
        <f>IFERROR(GETPIVOTDATA("valeur",VUE_KPI_FTTH!$A$7,"codeIndicateur","xxx","unite","50e centile","maille","Maille OI","type_valeur","Valeurs Brutes","OC","FTEL"),VUE_KPI_FTTH!A1)</f>
        <v>10.8</v>
      </c>
      <c r="I16" s="93" t="str">
        <f>IFERROR(GETPIVOTDATA("valeur",VUE_KPI_FTTH!$A$7,"codeIndicateur","xxx","unite","50e centile","maille","Maille OI","type_valeur","Valeurs Nettes","OC","SFRA"),VUE_KPI_FTTH!A1)</f>
        <v>N/A</v>
      </c>
      <c r="J16" s="94">
        <f>IFERROR(GETPIVOTDATA("valeur",VUE_KPI_FTTH!$A$7,"codeIndicateur","xxx","unite","50e centile","maille","Maille OI","type_valeur","Valeurs Brutes","OC","SFRA"),VUE_KPI_FTTH!A1)</f>
        <v>6</v>
      </c>
      <c r="K16" s="93" t="str">
        <f>IFERROR(GETPIVOTDATA("valeur",VUE_KPI_FTTH!$A$7,"codeIndicateur","xxx","unite","50e centile","maille","Maille OI","type_valeur","Valeurs Nettes","OC","AUTR"),VUE_KPI_FTTH!A1)</f>
        <v>N/A</v>
      </c>
      <c r="L16" s="94" t="str">
        <f>IFERROR(GETPIVOTDATA("valeur",VUE_KPI_FTTH!$A$7,"codeIndicateur","xxx","unite","50e centile","maille","Maille OI","type_valeur","Valeurs Brutes","OC","AUTR"),VUE_KPI_FTTH!A1)</f>
        <v>N/A</v>
      </c>
      <c r="M16" s="77" t="e">
        <f t="shared" ca="1" si="0"/>
        <v>#NAME?</v>
      </c>
    </row>
    <row r="17" spans="1:13" x14ac:dyDescent="0.25">
      <c r="A17" s="127"/>
      <c r="B17" s="5" t="s">
        <v>72</v>
      </c>
      <c r="C17" s="95" t="str">
        <f>IFERROR(GETPIVOTDATA("valeur",VUE_KPI_FTTH!$A$7,"codeIndicateur","xxx","unite","95e centile","maille","Maille OI","type_valeur","Valeurs Nettes","OC","BOUY"),VUE_KPI_FTTH!A1)</f>
        <v>N/A</v>
      </c>
      <c r="D17" s="96" t="str">
        <f>IFERROR(GETPIVOTDATA("valeur",VUE_KPI_FTTH!$A$7,"codeIndicateur","xxx","unite","95e centile","maille","Maille OI","type_valeur","Valeurs Brutes","OC","BOUY"),VUE_KPI_FTTH!A1)</f>
        <v>N/A</v>
      </c>
      <c r="E17" s="95" t="str">
        <f>IFERROR(GETPIVOTDATA("valeur",VUE_KPI_FTTH!$A$7,"codeIndicateur","xxx","unite","95e centile","maille","Maille OI","type_valeur","Valeurs Nettes","OC","FREE"),VUE_KPI_FTTH!A1)</f>
        <v>N/A</v>
      </c>
      <c r="F17" s="96">
        <f>IFERROR(GETPIVOTDATA("valeur",VUE_KPI_FTTH!$A$7,"codeIndicateur","xxx","unite","95e centile","maille","Maille OI","type_valeur","Valeurs Brutes","OC","FREE"),VUE_KPI_FTTH!A1)</f>
        <v>78.099999999999994</v>
      </c>
      <c r="G17" s="95" t="str">
        <f>IFERROR(GETPIVOTDATA("valeur",VUE_KPI_FTTH!$A$7,"codeIndicateur","xxx","unite","95e centile","maille","Maille OI","type_valeur","Valeurs Nettes","OC","FTEL"),VUE_KPI_FTTH!A1)</f>
        <v>N/A</v>
      </c>
      <c r="H17" s="96">
        <f>IFERROR(GETPIVOTDATA("valeur",VUE_KPI_FTTH!$A$7,"codeIndicateur","xxx","unite","95e centile","maille","Maille OI","type_valeur","Valeurs Brutes","OC","FTEL"),VUE_KPI_FTTH!A1)</f>
        <v>91.5</v>
      </c>
      <c r="I17" s="95" t="str">
        <f>IFERROR(GETPIVOTDATA("valeur",VUE_KPI_FTTH!$A$7,"codeIndicateur","xxx","unite","95e centile","maille","Maille OI","type_valeur","Valeurs Nettes","OC","SFRA"),VUE_KPI_FTTH!A1)</f>
        <v>N/A</v>
      </c>
      <c r="J17" s="96">
        <f>IFERROR(GETPIVOTDATA("valeur",VUE_KPI_FTTH!$A$7,"codeIndicateur","xxx","unite","95e centile","maille","Maille OI","type_valeur","Valeurs Brutes","OC","SFRA"),VUE_KPI_FTTH!A1)</f>
        <v>38.5</v>
      </c>
      <c r="K17" s="95" t="str">
        <f>IFERROR(GETPIVOTDATA("valeur",VUE_KPI_FTTH!$A$7,"codeIndicateur","xxx","unite","95e centile","maille","Maille OI","type_valeur","Valeurs Nettes","OC","AUTR"),VUE_KPI_FTTH!A1)</f>
        <v>N/A</v>
      </c>
      <c r="L17" s="96" t="str">
        <f>IFERROR(GETPIVOTDATA("valeur",VUE_KPI_FTTH!$A$7,"codeIndicateur","xxx","unite","95e centile","maille","Maille OI","type_valeur","Valeurs Brutes","OC","AUTR"),VUE_KPI_FTTH!A1)</f>
        <v>N/A</v>
      </c>
      <c r="M17" s="77" t="e">
        <f t="shared" ca="1" si="0"/>
        <v>#NAME?</v>
      </c>
    </row>
    <row r="18" spans="1:13" ht="15" customHeight="1" x14ac:dyDescent="0.25">
      <c r="A18" s="132" t="s">
        <v>74</v>
      </c>
      <c r="B18" s="5" t="s">
        <v>75</v>
      </c>
      <c r="C18" s="93" t="str">
        <f>IFERROR(GETPIVOTDATA("valeur",VUE_KPI_FTTH!$A$7,"codeIndicateur","xxxi","unite","50e centile","maille","Maille OI","type_valeur","Valeurs Nettes","OC","BOUY"),VUE_KPI_FTTH!A1)</f>
        <v>N/A</v>
      </c>
      <c r="D18" s="94" t="str">
        <f>IFERROR(GETPIVOTDATA("valeur",VUE_KPI_FTTH!$A$7,"codeIndicateur","xxxi","unite","50e centile","maille","Maille OI","type_valeur","Valeurs Brutes","OC","BOUY"),VUE_KPI_FTTH!A1)</f>
        <v>N/A</v>
      </c>
      <c r="E18" s="93" t="str">
        <f>IFERROR(GETPIVOTDATA("valeur",VUE_KPI_FTTH!$A$7,"codeIndicateur","xxxi","unite","50e centile","maille","Maille OI","type_valeur","Valeurs Nettes","OC","FREE"),VUE_KPI_FTTH!A1)</f>
        <v>N/A</v>
      </c>
      <c r="F18" s="94">
        <f>IFERROR(GETPIVOTDATA("valeur",VUE_KPI_FTTH!$A$7,"codeIndicateur","xxxi","unite","50e centile","maille","Maille OI","type_valeur","Valeurs Brutes","OC","FREE"),VUE_KPI_FTTH!A1)</f>
        <v>0.4</v>
      </c>
      <c r="G18" s="93" t="str">
        <f>IFERROR(GETPIVOTDATA("valeur",VUE_KPI_FTTH!$A$7,"codeIndicateur","xxxi","unite","50e centile","maille","Maille OI","type_valeur","Valeurs Nettes","OC","FTEL"),VUE_KPI_FTTH!A1)</f>
        <v>N/A</v>
      </c>
      <c r="H18" s="94">
        <f>IFERROR(GETPIVOTDATA("valeur",VUE_KPI_FTTH!$A$7,"codeIndicateur","xxxi","unite","50e centile","maille","Maille OI","type_valeur","Valeurs Brutes","OC","FTEL"),VUE_KPI_FTTH!A1)</f>
        <v>0</v>
      </c>
      <c r="I18" s="93" t="str">
        <f>IFERROR(GETPIVOTDATA("valeur",VUE_KPI_FTTH!$A$7,"codeIndicateur","xxxi","unite","50e centile","maille","Maille OI","type_valeur","Valeurs Nettes","OC","SFRA"),VUE_KPI_FTTH!A1)</f>
        <v>N/A</v>
      </c>
      <c r="J18" s="94">
        <f>IFERROR(GETPIVOTDATA("valeur",VUE_KPI_FTTH!$A$7,"codeIndicateur","xxxi","unite","50e centile","maille","Maille OI","type_valeur","Valeurs Brutes","OC","SFRA"),VUE_KPI_FTTH!A1)</f>
        <v>0.1</v>
      </c>
      <c r="K18" s="93" t="str">
        <f>IFERROR(GETPIVOTDATA("valeur",VUE_KPI_FTTH!$A$7,"codeIndicateur","xxxi","unite","50e centile","maille","Maille OI","type_valeur","Valeurs Nettes","OC","AUTR"),VUE_KPI_FTTH!A1)</f>
        <v>N/A</v>
      </c>
      <c r="L18" s="94" t="str">
        <f>IFERROR(GETPIVOTDATA("valeur",VUE_KPI_FTTH!$A$7,"codeIndicateur","xxxi","unite","50e centile","maille","Maille OI","type_valeur","Valeurs Brutes","OC","AUTR"),VUE_KPI_FTTH!A1)</f>
        <v>N/A</v>
      </c>
      <c r="M18" s="77" t="e">
        <f t="shared" ca="1" si="0"/>
        <v>#NAME?</v>
      </c>
    </row>
    <row r="19" spans="1:13" x14ac:dyDescent="0.25">
      <c r="A19" s="127"/>
      <c r="B19" s="5" t="s">
        <v>72</v>
      </c>
      <c r="C19" s="95" t="str">
        <f>IFERROR(GETPIVOTDATA("valeur",VUE_KPI_FTTH!$A$7,"codeIndicateur","xxxi","unite","95e centile","maille","Maille OI","type_valeur","Valeurs Nettes","OC","BOUY"),VUE_KPI_FTTH!A1)</f>
        <v>N/A</v>
      </c>
      <c r="D19" s="96" t="str">
        <f>IFERROR(GETPIVOTDATA("valeur",VUE_KPI_FTTH!$A$7,"codeIndicateur","xxxi","unite","95e centile","maille","Maille OI","type_valeur","Valeurs Brutes","OC","BOUY"),VUE_KPI_FTTH!A1)</f>
        <v>N/A</v>
      </c>
      <c r="E19" s="95" t="str">
        <f>IFERROR(GETPIVOTDATA("valeur",VUE_KPI_FTTH!$A$7,"codeIndicateur","xxxi","unite","95e centile","maille","Maille OI","type_valeur","Valeurs Nettes","OC","FREE"),VUE_KPI_FTTH!A1)</f>
        <v>N/A</v>
      </c>
      <c r="F19" s="96">
        <f>IFERROR(GETPIVOTDATA("valeur",VUE_KPI_FTTH!$A$7,"codeIndicateur","xxxi","unite","95e centile","maille","Maille OI","type_valeur","Valeurs Brutes","OC","FREE"),VUE_KPI_FTTH!A1)</f>
        <v>4.5999999999999996</v>
      </c>
      <c r="G19" s="95" t="str">
        <f>IFERROR(GETPIVOTDATA("valeur",VUE_KPI_FTTH!$A$7,"codeIndicateur","xxxi","unite","95e centile","maille","Maille OI","type_valeur","Valeurs Nettes","OC","FTEL"),VUE_KPI_FTTH!A1)</f>
        <v>N/A</v>
      </c>
      <c r="H19" s="96">
        <f>IFERROR(GETPIVOTDATA("valeur",VUE_KPI_FTTH!$A$7,"codeIndicateur","xxxi","unite","95e centile","maille","Maille OI","type_valeur","Valeurs Brutes","OC","FTEL"),VUE_KPI_FTTH!A1)</f>
        <v>0.6</v>
      </c>
      <c r="I19" s="95" t="str">
        <f>IFERROR(GETPIVOTDATA("valeur",VUE_KPI_FTTH!$A$7,"codeIndicateur","xxxi","unite","95e centile","maille","Maille OI","type_valeur","Valeurs Nettes","OC","SFRA"),VUE_KPI_FTTH!A1)</f>
        <v>N/A</v>
      </c>
      <c r="J19" s="96">
        <f>IFERROR(GETPIVOTDATA("valeur",VUE_KPI_FTTH!$A$7,"codeIndicateur","xxxi","unite","95e centile","maille","Maille OI","type_valeur","Valeurs Brutes","OC","SFRA"),VUE_KPI_FTTH!A1)</f>
        <v>0.7</v>
      </c>
      <c r="K19" s="95" t="str">
        <f>IFERROR(GETPIVOTDATA("valeur",VUE_KPI_FTTH!$A$7,"codeIndicateur","xxxi","unite","95e centile","maille","Maille OI","type_valeur","Valeurs Nettes","OC","AUTR"),VUE_KPI_FTTH!A1)</f>
        <v>N/A</v>
      </c>
      <c r="L19" s="96" t="str">
        <f>IFERROR(GETPIVOTDATA("valeur",VUE_KPI_FTTH!$A$7,"codeIndicateur","xxxi","unite","95e centile","maille","Maille OI","type_valeur","Valeurs Brutes","OC","AUTR"),VUE_KPI_FTTH!A1)</f>
        <v>N/A</v>
      </c>
      <c r="M19" s="77" t="e">
        <f t="shared" ca="1" si="0"/>
        <v>#NAME?</v>
      </c>
    </row>
    <row r="20" spans="1:13" ht="15" customHeight="1" x14ac:dyDescent="0.25">
      <c r="A20" s="132" t="s">
        <v>45</v>
      </c>
      <c r="B20" s="5" t="s">
        <v>1</v>
      </c>
      <c r="C20" s="27"/>
      <c r="D20" s="28"/>
      <c r="E20" s="28"/>
      <c r="F20" s="28"/>
      <c r="G20" s="28"/>
      <c r="H20" s="28"/>
      <c r="I20" s="28"/>
      <c r="J20" s="28"/>
      <c r="K20" s="28"/>
      <c r="L20" s="29"/>
      <c r="M20" s="77"/>
    </row>
    <row r="21" spans="1:13" x14ac:dyDescent="0.25">
      <c r="A21" s="133"/>
      <c r="B21" s="5" t="s">
        <v>2</v>
      </c>
      <c r="C21" s="30"/>
      <c r="D21" s="31"/>
      <c r="E21" s="31"/>
      <c r="F21" s="31"/>
      <c r="G21" s="31"/>
      <c r="H21" s="31"/>
      <c r="I21" s="31"/>
      <c r="J21" s="31"/>
      <c r="K21" s="31"/>
      <c r="L21" s="32"/>
      <c r="M21" s="77"/>
    </row>
    <row r="22" spans="1:13" x14ac:dyDescent="0.25">
      <c r="A22" s="127"/>
      <c r="B22" s="5" t="s">
        <v>3</v>
      </c>
      <c r="C22" s="30"/>
      <c r="D22" s="31"/>
      <c r="E22" s="31"/>
      <c r="F22" s="31"/>
      <c r="G22" s="31"/>
      <c r="H22" s="31"/>
      <c r="I22" s="31"/>
      <c r="J22" s="31"/>
      <c r="K22" s="31"/>
      <c r="L22" s="32"/>
      <c r="M22" s="77"/>
    </row>
    <row r="23" spans="1:13" x14ac:dyDescent="0.25">
      <c r="A23" s="132" t="s">
        <v>34</v>
      </c>
      <c r="B23" s="5" t="s">
        <v>1</v>
      </c>
      <c r="C23" s="30"/>
      <c r="D23" s="31"/>
      <c r="E23" s="31"/>
      <c r="F23" s="31"/>
      <c r="G23" s="31"/>
      <c r="H23" s="31"/>
      <c r="I23" s="31"/>
      <c r="J23" s="31"/>
      <c r="K23" s="31"/>
      <c r="L23" s="32"/>
      <c r="M23" s="77"/>
    </row>
    <row r="24" spans="1:13" x14ac:dyDescent="0.25">
      <c r="A24" s="133"/>
      <c r="B24" s="5" t="s">
        <v>2</v>
      </c>
      <c r="C24" s="30"/>
      <c r="D24" s="31"/>
      <c r="E24" s="31"/>
      <c r="F24" s="31"/>
      <c r="G24" s="31"/>
      <c r="H24" s="31"/>
      <c r="I24" s="31"/>
      <c r="J24" s="31"/>
      <c r="K24" s="31"/>
      <c r="L24" s="32"/>
      <c r="M24" s="77"/>
    </row>
    <row r="25" spans="1:13" x14ac:dyDescent="0.25">
      <c r="A25" s="127"/>
      <c r="B25" s="5" t="s">
        <v>3</v>
      </c>
      <c r="C25" s="33"/>
      <c r="D25" s="34"/>
      <c r="E25" s="34"/>
      <c r="F25" s="34"/>
      <c r="G25" s="34"/>
      <c r="H25" s="34"/>
      <c r="I25" s="34"/>
      <c r="J25" s="34"/>
      <c r="K25" s="34"/>
      <c r="L25" s="35"/>
      <c r="M25" s="77"/>
    </row>
    <row r="26" spans="1:13" x14ac:dyDescent="0.25">
      <c r="A26" s="139" t="s">
        <v>35</v>
      </c>
      <c r="B26" s="140"/>
      <c r="C26" s="140"/>
      <c r="D26" s="140"/>
      <c r="E26" s="140"/>
      <c r="F26" s="140"/>
      <c r="G26" s="140"/>
      <c r="H26" s="140"/>
      <c r="I26" s="140"/>
      <c r="J26" s="140"/>
      <c r="K26" s="140"/>
      <c r="L26" s="140"/>
      <c r="M26" s="77" t="str">
        <f xml:space="preserve">
_xlfn.IFS(
  OR(B26="Taux",B26=""), "",
  NOT(AND(
    OR(ISBLANK(C26),ISNUMBER(C26)),
    OR(ISBLANK(D26),ISNUMBER(D26)),
    OR(ISBLANK(E26),ISNUMBER(E26)),
    OR(ISBLANK(F26),ISNUMBER(F26)),
    OR(ISBLANK(G26),ISNUMBER(G26)),
    OR(ISBLANK(H26),ISNUMBER(H26)),
    IF(I$1="",TRUE,OR(ISBLANK(I26),ISNUMBER(I26))),
    IF(I$1="",TRUE,OR(ISBLANK(J26),ISNUMBER(J26))),
    IF(K$1="",TRUE,OR(ISBLANK(K26),ISNUMBER(K26))),
    IF(K$1="",TRUE,OR(ISBLANK(L26),ISNUMBER(L26)))
  )),
  "Nombres attendus !",
  AND( OR(B26="Numérateur",B26="Dénominateur"),
    NOT(AND(
      OR(ISBLANK(C26),C26=ROUND(C26,0)),
      OR(ISBLANK(D26),D26=ROUND(D26,0)),
      OR(ISBLANK(E26),E26=ROUND(E26,0)),
      OR(ISBLANK(F26),F26=ROUND(F26,0)),
      OR(ISBLANK(G26),G26=ROUND(G26,0)),
      OR(ISBLANK(H26),H26=ROUND(H26,0)),
      IF(I$1="",TRUE,OR(ISBLANK(I26),I26=ROUND(I26,0))),
      IF(I$1="",TRUE,OR(ISBLANK(J26),J26=ROUND(J26,0))),
      IF(K$1="",TRUE,OR(ISBLANK(K26),K26=ROUND(K26,0))),
      IF(K$1="",TRUE,OR(ISBLANK(L26),L26=ROUND(L26,0)))
    ))
  ),
  "Entiers attendus !",
  AND(B26&lt;&gt;"Numérateur",B26&lt;&gt;"Dénominateur",
  NOT(AND(
    OR(ISBLANK(C26),C26=ROUND(C26,2)),
    OR(ISBLANK(D26),D26=ROUND(D26,2)),
    OR(ISBLANK(E26),E26=ROUND(E26,2)),
    OR(ISBLANK(F26),F26=ROUND(F26,2)),
    OR(ISBLANK(G26),G26=ROUND(G26,2)),
    OR(ISBLANK(H26),H26=ROUND(H26,2)),
    IF(I$1="",TRUE,OR(ISBLANK(I26),I26=ROUND(I26,2))),
    IF(I$1="",TRUE,OR(ISBLANK(J26),J26=ROUND(J26,2))),
    IF(K$1="",TRUE,OR(ISBLANK(K26),K26=ROUND(K26,2))),
    IF(K$1="",TRUE,OR(ISBLANK(L26),L26=ROUND(L26,2)))
  ))),
  "Précision supérieure à 2 décimales",
  IF(I$1="",MIN(C26:H26),IF(K$1="",MIN(C26:J26),MIN(C26:L26)))&lt;0, "Nombres positifs attendus !",
  AND(B26="Dénominateur",
  NOT(AND(
    OR(ISBLANK(C26),C26&gt;0),
    OR(ISBLANK(D26),D26&gt;0),
    OR(ISBLANK(E26),E26&gt;0),
    OR(ISBLANK(F26),F26&gt;0),
    OR(ISBLANK(G26),G26&gt;0),
    OR(ISBLANK(H26),H26&gt;0),
    IF(I$1="",TRUE,OR(ISBLANK(I26),I26&gt;0)),
    IF(I$1="",TRUE,OR(ISBLANK(J26),J26&gt;0)),
    IF(K$1="",TRUE,OR(ISBLANK(K26),K26&gt;0)),
    IF(K$1="",TRUE,OR(ISBLANK(L26),L26&gt;0))
  ))),
  "Nombres strictement positifs attendus !",
  IF(B26="Dénominateur",
  NOT(AND(
    OR(ISBLANK(C25),ISBLANK(C26),C26&gt;=C25),
    OR(ISBLANK(D25),ISBLANK(D26),D26&gt;=D25),
    OR(ISBLANK(E25),ISBLANK(E26),E26&gt;=E25),
    OR(ISBLANK(F25),ISBLANK(F26),F26&gt;=F25),
    OR(ISBLANK(G25),ISBLANK(G26),G26&gt;=G25),
    OR(ISBLANK(H25),ISBLANK(H26),H26&gt;=H25),
    IF(I$1="",TRUE,OR(ISBLANK(I25),ISBLANK(I26),I26&gt;=I25)),
    IF(I$1="",TRUE,OR(ISBLANK(J25),ISBLANK(J26),J26&gt;=J25)),
    IF(K$1="",TRUE,OR(ISBLANK(K25),ISBLANK(K26),K26&gt;=K25)),
    IF(K$1="",TRUE,OR(ISBLANK(L25),ISBLANK(L26),L26&gt;=L25))
  )),FALSE),
  "Numérateur supérieur à ce dénominateur !",
  LEFT( IF(B26="Dénominateur",A25,A26),12) = "(Facultatif)","",
  IF(I$1="",COUNTBLANK(C26:H26),COUNTBLANK(C26:J26))&gt;0,
  _xlfn.CONCAT("Encore ",IF(I$1="",COUNTBLANK(C26:H26),COUNTBLANK(C26:J26)), " cellule(s) requise(s)"),
  TRUE,""
)</f>
        <v/>
      </c>
    </row>
    <row r="27" spans="1:13" ht="15" customHeight="1" x14ac:dyDescent="0.25">
      <c r="A27" s="133" t="s">
        <v>36</v>
      </c>
      <c r="B27" s="8" t="s">
        <v>1</v>
      </c>
      <c r="C27" s="27"/>
      <c r="D27" s="28"/>
      <c r="E27" s="28"/>
      <c r="F27" s="28"/>
      <c r="G27" s="28"/>
      <c r="H27" s="28"/>
      <c r="I27" s="28"/>
      <c r="J27" s="28"/>
      <c r="K27" s="28"/>
      <c r="L27" s="29"/>
      <c r="M27" s="77"/>
    </row>
    <row r="28" spans="1:13" x14ac:dyDescent="0.25">
      <c r="A28" s="133"/>
      <c r="B28" s="5" t="s">
        <v>2</v>
      </c>
      <c r="C28" s="30"/>
      <c r="D28" s="31"/>
      <c r="E28" s="31"/>
      <c r="F28" s="31"/>
      <c r="G28" s="31"/>
      <c r="H28" s="31"/>
      <c r="I28" s="31"/>
      <c r="J28" s="31"/>
      <c r="K28" s="31"/>
      <c r="L28" s="32"/>
      <c r="M28" s="77"/>
    </row>
    <row r="29" spans="1:13" x14ac:dyDescent="0.25">
      <c r="A29" s="127"/>
      <c r="B29" s="5" t="s">
        <v>3</v>
      </c>
      <c r="C29" s="30"/>
      <c r="D29" s="31"/>
      <c r="E29" s="31"/>
      <c r="F29" s="31"/>
      <c r="G29" s="31"/>
      <c r="H29" s="31"/>
      <c r="I29" s="31"/>
      <c r="J29" s="31"/>
      <c r="K29" s="31"/>
      <c r="L29" s="32"/>
      <c r="M29" s="77"/>
    </row>
    <row r="30" spans="1:13" ht="15" customHeight="1" x14ac:dyDescent="0.25">
      <c r="A30" s="132" t="s">
        <v>37</v>
      </c>
      <c r="B30" s="8" t="s">
        <v>1</v>
      </c>
      <c r="C30" s="30"/>
      <c r="D30" s="31"/>
      <c r="E30" s="31"/>
      <c r="F30" s="31"/>
      <c r="G30" s="31"/>
      <c r="H30" s="31"/>
      <c r="I30" s="31"/>
      <c r="J30" s="31"/>
      <c r="K30" s="31"/>
      <c r="L30" s="32"/>
      <c r="M30" s="77"/>
    </row>
    <row r="31" spans="1:13" x14ac:dyDescent="0.25">
      <c r="A31" s="133"/>
      <c r="B31" s="5" t="s">
        <v>2</v>
      </c>
      <c r="C31" s="30"/>
      <c r="D31" s="31"/>
      <c r="E31" s="31"/>
      <c r="F31" s="31"/>
      <c r="G31" s="31"/>
      <c r="H31" s="31"/>
      <c r="I31" s="31"/>
      <c r="J31" s="31"/>
      <c r="K31" s="31"/>
      <c r="L31" s="32"/>
      <c r="M31" s="77"/>
    </row>
    <row r="32" spans="1:13" x14ac:dyDescent="0.25">
      <c r="A32" s="127"/>
      <c r="B32" s="5" t="s">
        <v>3</v>
      </c>
      <c r="C32" s="33"/>
      <c r="D32" s="34"/>
      <c r="E32" s="34"/>
      <c r="F32" s="34"/>
      <c r="G32" s="34"/>
      <c r="H32" s="34"/>
      <c r="I32" s="34"/>
      <c r="J32" s="34"/>
      <c r="K32" s="34"/>
      <c r="L32" s="35"/>
      <c r="M32" s="77"/>
    </row>
    <row r="33" spans="1:13" x14ac:dyDescent="0.25">
      <c r="A33" s="139" t="s">
        <v>5</v>
      </c>
      <c r="B33" s="140"/>
      <c r="C33" s="140"/>
      <c r="D33" s="140"/>
      <c r="E33" s="140"/>
      <c r="F33" s="140"/>
      <c r="G33" s="140"/>
      <c r="H33" s="140"/>
      <c r="I33" s="140"/>
      <c r="J33" s="140"/>
      <c r="K33" s="140"/>
      <c r="L33" s="140"/>
      <c r="M33" s="77" t="str">
        <f t="shared" si="0"/>
        <v/>
      </c>
    </row>
    <row r="34" spans="1:13" ht="15" customHeight="1" x14ac:dyDescent="0.25">
      <c r="A34" s="133" t="s">
        <v>46</v>
      </c>
      <c r="B34" s="8" t="s">
        <v>1</v>
      </c>
      <c r="C34" s="69" t="str">
        <f>IFERROR(GETPIVOTDATA("valeur",VUE_KPI_FTTH!$A$7,"codeIndicateur","xxxvi","unite","Numérateur","maille","Maille OI","type_valeur","Valeurs Nettes","OC","BOUY"),VUE_KPI_FTTH!A1)</f>
        <v>N/A</v>
      </c>
      <c r="D34" s="70" t="str">
        <f>IFERROR(GETPIVOTDATA("valeur",VUE_KPI_FTTH!$A$7,"codeIndicateur","xxxvi","unite","Numérateur","maille","Maille OI","type_valeur","Valeurs Brutes","OC","BOUY"),VUE_KPI_FTTH!A1)</f>
        <v>N/A</v>
      </c>
      <c r="E34" s="69">
        <f>IFERROR(GETPIVOTDATA("valeur",VUE_KPI_FTTH!$A$7,"codeIndicateur","xxxvi","unite","Numérateur","maille","Maille OI","type_valeur","Valeurs Nettes","OC","FREE"),VUE_KPI_FTTH!A1)</f>
        <v>0</v>
      </c>
      <c r="F34" s="70">
        <f>IFERROR(GETPIVOTDATA("valeur",VUE_KPI_FTTH!$A$7,"codeIndicateur","xxxvi","unite","Numérateur","maille","Maille OI","type_valeur","Valeurs Brutes","OC","FREE"),VUE_KPI_FTTH!A1)</f>
        <v>0</v>
      </c>
      <c r="G34" s="69">
        <f>IFERROR(GETPIVOTDATA("valeur",VUE_KPI_FTTH!$A$7,"codeIndicateur","xxxvi","unite","Numérateur","maille","Maille OI","type_valeur","Valeurs Nettes","OC","FTEL"),VUE_KPI_FTTH!A1)</f>
        <v>0</v>
      </c>
      <c r="H34" s="70">
        <f>IFERROR(GETPIVOTDATA("valeur",VUE_KPI_FTTH!$A$7,"codeIndicateur","xxxvi","unite","Numérateur","maille","Maille OI","type_valeur","Valeurs Brutes","OC","FTEL"),VUE_KPI_FTTH!A1)</f>
        <v>0</v>
      </c>
      <c r="I34" s="69" t="str">
        <f>IFERROR(GETPIVOTDATA("valeur",VUE_KPI_FTTH!$A$7,"codeIndicateur","xxxvi","unite","Numérateur","maille","Maille OI","type_valeur","Valeurs Nettes","OC","SFRA"),VUE_KPI_FTTH!A1)</f>
        <v>N/A</v>
      </c>
      <c r="J34" s="70" t="str">
        <f>IFERROR(GETPIVOTDATA("valeur",VUE_KPI_FTTH!$A$7,"codeIndicateur","xxxvi","unite","Numérateur","maille","Maille OI","type_valeur","Valeurs Brutes","OC","SFRA"),VUE_KPI_FTTH!A1)</f>
        <v>N/A</v>
      </c>
      <c r="K34" s="69" t="str">
        <f>IFERROR(GETPIVOTDATA("valeur",VUE_KPI_FTTH!$A$7,"codeIndicateur","xxxvi","unite","Numérateur","maille","Maille OI","type_valeur","Valeurs Nettes","OC","AUTR"),VUE_KPI_FTTH!A1)</f>
        <v>N/A</v>
      </c>
      <c r="L34" s="70" t="str">
        <f>IFERROR(GETPIVOTDATA("valeur",VUE_KPI_FTTH!$A$7,"codeIndicateur","xxxvi","unite","Numérateur","maille","Maille OI","type_valeur","Valeurs Brutes","OC","AUTR"),VUE_KPI_FTTH!A1)</f>
        <v>N/A</v>
      </c>
      <c r="M34" s="77" t="e">
        <f ca="1" xml:space="preserve">
_xlfn.IFS(
  OR(B34="Taux",B34=""), "",
  NOT(AND(
    OR(ISBLANK(C34),ISNUMBER(C34)),
    OR(ISBLANK(D34),ISNUMBER(D34)),
    OR(ISBLANK(E34),ISNUMBER(E34)),
    OR(ISBLANK(F34),ISNUMBER(F34)),
    OR(ISBLANK(G34),ISNUMBER(G34)),
    OR(ISBLANK(H34),ISNUMBER(H34)),
    IF(I$1="",TRUE,OR(ISBLANK(I34),ISNUMBER(I34))),
    IF(I$1="",TRUE,OR(ISBLANK(J34),ISNUMBER(J34))),
    IF(K$1="",TRUE,OR(ISBLANK(K34),ISNUMBER(K34))),
    IF(K$1="",TRUE,OR(ISBLANK(L34),ISNUMBER(L34)))
  )),
  "Nombres attendus !",
  AND( OR(B34="Numérateur",B34="Dénominateur"),
    NOT(AND(
      OR(ISBLANK(C34),C34=ROUND(C34,0)),
      OR(ISBLANK(D34),D34=ROUND(D34,0)),
      OR(ISBLANK(E34),E34=ROUND(E34,0)),
      OR(ISBLANK(F34),F34=ROUND(F34,0)),
      OR(ISBLANK(G34),G34=ROUND(G34,0)),
      OR(ISBLANK(H34),H34=ROUND(H34,0)),
      IF(I$1="",TRUE,OR(ISBLANK(I34),I34=ROUND(I34,0))),
      IF(I$1="",TRUE,OR(ISBLANK(J34),J34=ROUND(J34,0))),
      IF(K$1="",TRUE,OR(ISBLANK(K34),K34=ROUND(K34,0))),
      IF(K$1="",TRUE,OR(ISBLANK(L34),L34=ROUND(L34,0)))
    ))
  ),
  "Entiers attendus !",
  AND(B34&lt;&gt;"Numérateur",B34&lt;&gt;"Dénominateur",
  NOT(AND(
    OR(ISBLANK(C34),C34=ROUND(C34,2)),
    OR(ISBLANK(D34),D34=ROUND(D34,2)),
    OR(ISBLANK(E34),E34=ROUND(E34,2)),
    OR(ISBLANK(F34),F34=ROUND(F34,2)),
    OR(ISBLANK(G34),G34=ROUND(G34,2)),
    OR(ISBLANK(H34),H34=ROUND(H34,2)),
    IF(I$1="",TRUE,OR(ISBLANK(I34),I34=ROUND(I34,2))),
    IF(I$1="",TRUE,OR(ISBLANK(J34),J34=ROUND(J34,2))),
    IF(K$1="",TRUE,OR(ISBLANK(K34),K34=ROUND(K34,2))),
    IF(K$1="",TRUE,OR(ISBLANK(L34),L34=ROUND(L34,2)))
  ))),
  "Précision supérieure à 2 décimales",
  IF(I$1="",MIN(C34:H34),IF(K$1="",MIN(C34:J34),MIN(C34:L34)))&lt;0, "Nombres positifs attendus !",
  AND(B34="Dénominateur",
  NOT(AND(
    OR(ISBLANK(C34),C34&gt;0),
    OR(ISBLANK(D34),D34&gt;0),
    OR(ISBLANK(E34),E34&gt;0),
    OR(ISBLANK(F34),F34&gt;0),
    OR(ISBLANK(G34),G34&gt;0),
    OR(ISBLANK(H34),H34&gt;0),
    IF(I$1="",TRUE,OR(ISBLANK(I34),I34&gt;0)),
    IF(I$1="",TRUE,OR(ISBLANK(J34),J34&gt;0)),
    IF(K$1="",TRUE,OR(ISBLANK(K34),K34&gt;0)),
    IF(K$1="",TRUE,OR(ISBLANK(L34),L34&gt;0))
  ))),
  "Nombres strictement positifs attendus !",
  IF(B34="Dénominateur",
  NOT(AND(
    OR(ISBLANK(C33),ISBLANK(C34),C34&gt;=C33),
    OR(ISBLANK(D33),ISBLANK(D34),D34&gt;=D33),
    OR(ISBLANK(E33),ISBLANK(E34),E34&gt;=E33),
    OR(ISBLANK(F33),ISBLANK(F34),F34&gt;=F33),
    OR(ISBLANK(G33),ISBLANK(G34),G34&gt;=G33),
    OR(ISBLANK(H33),ISBLANK(H34),H34&gt;=H33),
    IF(I$1="",TRUE,OR(ISBLANK(I33),ISBLANK(I34),I34&gt;=I33)),
    IF(I$1="",TRUE,OR(ISBLANK(J33),ISBLANK(J34),J34&gt;=J33)),
    IF(K$1="",TRUE,OR(ISBLANK(K33),ISBLANK(K34),K34&gt;=K33)),
    IF(K$1="",TRUE,OR(ISBLANK(L33),ISBLANK(L34),L34&gt;=L33))
  )),FALSE),
  "Numérateur supérieur à ce dénominateur !",
  LEFT( IF(B34="Dénominateur",A33,A34),12) = "(Facultatif)","",
  IF(I$1="",COUNTBLANK(C34:H34),COUNTBLANK(C34:J34))&gt;0,
  _xlfn.CONCAT("Encore ",IF(I$1="",COUNTBLANK(C34:H34),COUNTBLANK(C34:J34)), " cellule(s) requise(s)"),
  TRUE,""
)</f>
        <v>#NAME?</v>
      </c>
    </row>
    <row r="35" spans="1:13" x14ac:dyDescent="0.25">
      <c r="A35" s="133"/>
      <c r="B35" s="5" t="s">
        <v>2</v>
      </c>
      <c r="C35" s="71" t="str">
        <f>IFERROR(GETPIVOTDATA("valeur",VUE_KPI_FTTH!$A$7,"codeIndicateur","xxxvi","unite","Dénominateur","maille","Maille OI","type_valeur","Valeurs Nettes","OC","BOUY"),VUE_KPI_FTTH!A1)</f>
        <v>N/A</v>
      </c>
      <c r="D35" s="72" t="str">
        <f>IFERROR(GETPIVOTDATA("valeur",VUE_KPI_FTTH!$A$7,"codeIndicateur","xxxvi","unite","Dénominateur","maille","Maille OI","type_valeur","Valeurs Brutes","OC","BOUY"),VUE_KPI_FTTH!A1)</f>
        <v>N/A</v>
      </c>
      <c r="E35" s="71">
        <f>IFERROR(GETPIVOTDATA("valeur",VUE_KPI_FTTH!$A$7,"codeIndicateur","xxxvi","unite","Dénominateur","maille","Maille OI","type_valeur","Valeurs Nettes","OC","FREE"),VUE_KPI_FTTH!A1)</f>
        <v>2</v>
      </c>
      <c r="F35" s="72">
        <f>IFERROR(GETPIVOTDATA("valeur",VUE_KPI_FTTH!$A$7,"codeIndicateur","xxxvi","unite","Dénominateur","maille","Maille OI","type_valeur","Valeurs Brutes","OC","FREE"),VUE_KPI_FTTH!A1)</f>
        <v>2</v>
      </c>
      <c r="G35" s="71">
        <f>IFERROR(GETPIVOTDATA("valeur",VUE_KPI_FTTH!$A$7,"codeIndicateur","xxxvi","unite","Dénominateur","maille","Maille OI","type_valeur","Valeurs Nettes","OC","FTEL"),VUE_KPI_FTTH!A1)</f>
        <v>1</v>
      </c>
      <c r="H35" s="72">
        <f>IFERROR(GETPIVOTDATA("valeur",VUE_KPI_FTTH!$A$7,"codeIndicateur","xxxvi","unite","Dénominateur","maille","Maille OI","type_valeur","Valeurs Brutes","OC","FTEL"),VUE_KPI_FTTH!A1)</f>
        <v>1</v>
      </c>
      <c r="I35" s="71" t="str">
        <f>IFERROR(GETPIVOTDATA("valeur",VUE_KPI_FTTH!$A$7,"codeIndicateur","xxxvi","unite","Dénominateur","maille","Maille OI","type_valeur","Valeurs Nettes","OC","SFRA"),VUE_KPI_FTTH!A1)</f>
        <v>N/A</v>
      </c>
      <c r="J35" s="72" t="str">
        <f>IFERROR(GETPIVOTDATA("valeur",VUE_KPI_FTTH!$A$7,"codeIndicateur","xxxvi","unite","Dénominateur","maille","Maille OI","type_valeur","Valeurs Brutes","OC","SFRA"),VUE_KPI_FTTH!A1)</f>
        <v>N/A</v>
      </c>
      <c r="K35" s="71" t="str">
        <f>IFERROR(GETPIVOTDATA("valeur",VUE_KPI_FTTH!$A$7,"codeIndicateur","xxxvi","unite","Dénominateur","maille","Maille OI","type_valeur","Valeurs Nettes","OC","AUTR"),VUE_KPI_FTTH!A1)</f>
        <v>N/A</v>
      </c>
      <c r="L35" s="72" t="str">
        <f>IFERROR(GETPIVOTDATA("valeur",VUE_KPI_FTTH!$A$7,"codeIndicateur","xxxvi","unite","Dénominateur","maille","Maille OI","type_valeur","Valeurs Brutes","OC","AUTR"),VUE_KPI_FTTH!A1)</f>
        <v>N/A</v>
      </c>
      <c r="M35" s="77" t="e">
        <f t="shared" ca="1" si="0"/>
        <v>#NAME?</v>
      </c>
    </row>
    <row r="36" spans="1:13" x14ac:dyDescent="0.25">
      <c r="A36" s="127"/>
      <c r="B36" s="5" t="s">
        <v>3</v>
      </c>
      <c r="C36" s="73" t="str">
        <f>IF(OR(C35="",C35="N/A",C35="NC",C35="ND"),"",C34/C35)</f>
        <v/>
      </c>
      <c r="D36" s="73" t="str">
        <f t="shared" ref="D36" si="11">IF(OR(D35="",D35="N/A",D35="NC",D35="ND"),"",D34/D35)</f>
        <v/>
      </c>
      <c r="E36" s="73">
        <f t="shared" ref="E36" si="12">IF(OR(E35="",E35="N/A",E35="NC",E35="ND"),"",E34/E35)</f>
        <v>0</v>
      </c>
      <c r="F36" s="73">
        <f t="shared" ref="F36" si="13">IF(OR(F35="",F35="N/A",F35="NC",F35="ND"),"",F34/F35)</f>
        <v>0</v>
      </c>
      <c r="G36" s="73">
        <f t="shared" ref="G36" si="14">IF(OR(G35="",G35="N/A",G35="NC",G35="ND"),"",G34/G35)</f>
        <v>0</v>
      </c>
      <c r="H36" s="73">
        <f t="shared" ref="H36" si="15">IF(OR(H35="",H35="N/A",H35="NC",H35="ND"),"",H34/H35)</f>
        <v>0</v>
      </c>
      <c r="I36" s="73" t="str">
        <f t="shared" ref="I36" si="16">IF(OR(I35="",I35="N/A",I35="NC",I35="ND"),"",I34/I35)</f>
        <v/>
      </c>
      <c r="J36" s="73" t="str">
        <f t="shared" ref="J36" si="17">IF(OR(J35="",J35="N/A",J35="NC",J35="ND"),"",J34/J35)</f>
        <v/>
      </c>
      <c r="K36" s="73" t="str">
        <f t="shared" ref="K36" si="18">IF(OR(K35="",K35="N/A",K35="NC",K35="ND"),"",K34/K35)</f>
        <v/>
      </c>
      <c r="L36" s="73" t="str">
        <f t="shared" ref="L36" si="19">IF(OR(L35="",L35="N/A",L35="NC",L35="ND"),"",L34/L35)</f>
        <v/>
      </c>
      <c r="M36" s="77" t="e">
        <f t="shared" ca="1" si="0"/>
        <v>#NAME?</v>
      </c>
    </row>
    <row r="37" spans="1:13" x14ac:dyDescent="0.25">
      <c r="A37" s="80" t="s">
        <v>38</v>
      </c>
      <c r="B37" s="8" t="s">
        <v>76</v>
      </c>
      <c r="C37" s="27"/>
      <c r="D37" s="28"/>
      <c r="E37" s="28"/>
      <c r="F37" s="28"/>
      <c r="G37" s="28"/>
      <c r="H37" s="28"/>
      <c r="I37" s="28"/>
      <c r="J37" s="28"/>
      <c r="K37" s="28"/>
      <c r="L37" s="29"/>
      <c r="M37" s="77"/>
    </row>
    <row r="38" spans="1:13" ht="15" customHeight="1" x14ac:dyDescent="0.25">
      <c r="A38" s="132" t="s">
        <v>39</v>
      </c>
      <c r="B38" s="8" t="s">
        <v>1</v>
      </c>
      <c r="C38" s="30"/>
      <c r="D38" s="31"/>
      <c r="E38" s="31"/>
      <c r="F38" s="31"/>
      <c r="G38" s="31"/>
      <c r="H38" s="31"/>
      <c r="I38" s="31"/>
      <c r="J38" s="31"/>
      <c r="K38" s="31"/>
      <c r="L38" s="32"/>
      <c r="M38" s="77"/>
    </row>
    <row r="39" spans="1:13" x14ac:dyDescent="0.25">
      <c r="A39" s="133"/>
      <c r="B39" s="5" t="s">
        <v>2</v>
      </c>
      <c r="C39" s="30"/>
      <c r="D39" s="31"/>
      <c r="E39" s="31"/>
      <c r="F39" s="31"/>
      <c r="G39" s="31"/>
      <c r="H39" s="31"/>
      <c r="I39" s="31"/>
      <c r="J39" s="31"/>
      <c r="K39" s="31"/>
      <c r="L39" s="32"/>
      <c r="M39" s="77"/>
    </row>
    <row r="40" spans="1:13" x14ac:dyDescent="0.25">
      <c r="A40" s="127"/>
      <c r="B40" s="5" t="s">
        <v>3</v>
      </c>
      <c r="C40" s="30"/>
      <c r="D40" s="31"/>
      <c r="E40" s="31"/>
      <c r="F40" s="31"/>
      <c r="G40" s="31"/>
      <c r="H40" s="31"/>
      <c r="I40" s="31"/>
      <c r="J40" s="31"/>
      <c r="K40" s="31"/>
      <c r="L40" s="32"/>
      <c r="M40" s="77"/>
    </row>
  </sheetData>
  <sheetProtection sheet="1" objects="1" scenarios="1" selectLockedCells="1"/>
  <mergeCells count="20">
    <mergeCell ref="A7:A9"/>
    <mergeCell ref="A16:A17"/>
    <mergeCell ref="A38:A40"/>
    <mergeCell ref="A34:A36"/>
    <mergeCell ref="K1:L1"/>
    <mergeCell ref="A3:L3"/>
    <mergeCell ref="A33:L33"/>
    <mergeCell ref="A26:L26"/>
    <mergeCell ref="I1:J1"/>
    <mergeCell ref="A27:A29"/>
    <mergeCell ref="A30:A32"/>
    <mergeCell ref="A10:A12"/>
    <mergeCell ref="A13:A15"/>
    <mergeCell ref="A18:A19"/>
    <mergeCell ref="A20:A22"/>
    <mergeCell ref="A23:A25"/>
    <mergeCell ref="C1:D1"/>
    <mergeCell ref="E1:F1"/>
    <mergeCell ref="G1:H1"/>
    <mergeCell ref="A4:A6"/>
  </mergeCell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8"/>
  <sheetViews>
    <sheetView workbookViewId="0">
      <selection activeCell="B17" sqref="B17"/>
    </sheetView>
  </sheetViews>
  <sheetFormatPr baseColWidth="10" defaultRowHeight="15" x14ac:dyDescent="0.25"/>
  <cols>
    <col min="1" max="1" width="97.42578125" bestFit="1" customWidth="1"/>
    <col min="2" max="2" width="23.7109375" customWidth="1"/>
    <col min="3" max="3" width="14.28515625" bestFit="1" customWidth="1"/>
    <col min="4" max="4" width="70.5703125" bestFit="1" customWidth="1"/>
    <col min="5" max="5" width="14.28515625" bestFit="1" customWidth="1"/>
    <col min="6" max="6" width="59.5703125" bestFit="1" customWidth="1"/>
    <col min="7" max="7" width="12.5703125" bestFit="1" customWidth="1"/>
    <col min="8" max="8" width="59.5703125" bestFit="1" customWidth="1"/>
    <col min="9" max="9" width="62.7109375" bestFit="1" customWidth="1"/>
    <col min="10" max="10" width="12.5703125" bestFit="1" customWidth="1"/>
  </cols>
  <sheetData>
    <row r="1" spans="1:13" x14ac:dyDescent="0.25">
      <c r="A1" s="89" t="s">
        <v>104</v>
      </c>
    </row>
    <row r="2" spans="1:13" x14ac:dyDescent="0.25">
      <c r="A2" s="89">
        <v>0</v>
      </c>
    </row>
    <row r="3" spans="1:13" x14ac:dyDescent="0.25">
      <c r="A3" s="90"/>
    </row>
    <row r="7" spans="1:13" x14ac:dyDescent="0.25">
      <c r="A7" s="92" t="s">
        <v>105</v>
      </c>
      <c r="D7" s="92" t="s">
        <v>106</v>
      </c>
      <c r="E7" s="92" t="s">
        <v>107</v>
      </c>
      <c r="F7" s="92" t="s">
        <v>108</v>
      </c>
    </row>
    <row r="8" spans="1:13" x14ac:dyDescent="0.25">
      <c r="D8" t="s">
        <v>109</v>
      </c>
      <c r="I8" t="s">
        <v>121</v>
      </c>
      <c r="J8" t="s">
        <v>122</v>
      </c>
      <c r="L8" t="s">
        <v>123</v>
      </c>
    </row>
    <row r="9" spans="1:13" x14ac:dyDescent="0.25">
      <c r="D9" t="s">
        <v>0</v>
      </c>
      <c r="F9" t="s">
        <v>69</v>
      </c>
      <c r="G9" t="s">
        <v>70</v>
      </c>
      <c r="I9" t="s">
        <v>0</v>
      </c>
      <c r="J9" t="s">
        <v>0</v>
      </c>
      <c r="L9" t="s">
        <v>0</v>
      </c>
    </row>
    <row r="10" spans="1:13" x14ac:dyDescent="0.25">
      <c r="A10" s="92" t="s">
        <v>110</v>
      </c>
      <c r="B10" s="92" t="s">
        <v>111</v>
      </c>
      <c r="C10" s="92" t="s">
        <v>112</v>
      </c>
      <c r="D10" t="s">
        <v>113</v>
      </c>
      <c r="E10" t="s">
        <v>65</v>
      </c>
      <c r="F10" t="s">
        <v>65</v>
      </c>
      <c r="G10" t="s">
        <v>113</v>
      </c>
      <c r="H10" t="s">
        <v>65</v>
      </c>
      <c r="I10" t="s">
        <v>65</v>
      </c>
      <c r="J10" t="s">
        <v>113</v>
      </c>
      <c r="K10" t="s">
        <v>65</v>
      </c>
      <c r="L10" t="s">
        <v>113</v>
      </c>
      <c r="M10" t="s">
        <v>65</v>
      </c>
    </row>
    <row r="11" spans="1:13" x14ac:dyDescent="0.25">
      <c r="A11" t="s">
        <v>124</v>
      </c>
      <c r="B11" t="s">
        <v>125</v>
      </c>
      <c r="C11" t="s">
        <v>72</v>
      </c>
      <c r="D11" s="91">
        <v>14.33</v>
      </c>
      <c r="E11" s="91">
        <v>14.33</v>
      </c>
      <c r="F11" s="91" t="e">
        <v>#DIV/0!</v>
      </c>
      <c r="G11" s="91">
        <v>2.62</v>
      </c>
      <c r="H11" s="91">
        <v>2.62</v>
      </c>
      <c r="I11" s="91" t="e">
        <v>#DIV/0!</v>
      </c>
      <c r="J11" s="91" t="e">
        <v>#DIV/0!</v>
      </c>
      <c r="K11" s="91" t="e">
        <v>#DIV/0!</v>
      </c>
      <c r="L11" s="91" t="e">
        <v>#DIV/0!</v>
      </c>
      <c r="M11" s="91" t="e">
        <v>#DIV/0!</v>
      </c>
    </row>
    <row r="12" spans="1:13" x14ac:dyDescent="0.25">
      <c r="A12" t="s">
        <v>126</v>
      </c>
      <c r="B12" t="s">
        <v>127</v>
      </c>
      <c r="C12" t="s">
        <v>2</v>
      </c>
      <c r="D12" s="91">
        <v>3</v>
      </c>
      <c r="E12" s="91">
        <v>3</v>
      </c>
      <c r="F12" s="91" t="e">
        <v>#DIV/0!</v>
      </c>
      <c r="G12" s="91">
        <v>1</v>
      </c>
      <c r="H12" s="91">
        <v>1</v>
      </c>
      <c r="I12" s="91" t="e">
        <v>#DIV/0!</v>
      </c>
      <c r="J12" s="91" t="e">
        <v>#DIV/0!</v>
      </c>
      <c r="K12" s="91" t="e">
        <v>#DIV/0!</v>
      </c>
      <c r="L12" s="91" t="e">
        <v>#DIV/0!</v>
      </c>
      <c r="M12" s="91" t="e">
        <v>#DIV/0!</v>
      </c>
    </row>
    <row r="13" spans="1:13" x14ac:dyDescent="0.25">
      <c r="C13" t="s">
        <v>1</v>
      </c>
      <c r="D13" s="91">
        <v>1</v>
      </c>
      <c r="E13" s="91">
        <v>1</v>
      </c>
      <c r="F13" s="91" t="e">
        <v>#DIV/0!</v>
      </c>
      <c r="G13" s="91">
        <v>0</v>
      </c>
      <c r="H13" s="91">
        <v>0</v>
      </c>
      <c r="I13" s="91" t="e">
        <v>#DIV/0!</v>
      </c>
      <c r="J13" s="91" t="e">
        <v>#DIV/0!</v>
      </c>
      <c r="K13" s="91" t="e">
        <v>#DIV/0!</v>
      </c>
      <c r="L13" s="91" t="e">
        <v>#DIV/0!</v>
      </c>
      <c r="M13" s="91" t="e">
        <v>#DIV/0!</v>
      </c>
    </row>
    <row r="14" spans="1:13" x14ac:dyDescent="0.25">
      <c r="A14" t="s">
        <v>128</v>
      </c>
      <c r="B14" t="s">
        <v>129</v>
      </c>
      <c r="C14" t="s">
        <v>2</v>
      </c>
      <c r="D14" s="91">
        <v>2</v>
      </c>
      <c r="E14" s="91">
        <v>2</v>
      </c>
      <c r="F14" s="91" t="e">
        <v>#DIV/0!</v>
      </c>
      <c r="G14" s="91">
        <v>1</v>
      </c>
      <c r="H14" s="91">
        <v>1</v>
      </c>
      <c r="I14" s="91" t="e">
        <v>#DIV/0!</v>
      </c>
      <c r="J14" s="91" t="e">
        <v>#DIV/0!</v>
      </c>
      <c r="K14" s="91" t="e">
        <v>#DIV/0!</v>
      </c>
      <c r="L14" s="91" t="e">
        <v>#DIV/0!</v>
      </c>
      <c r="M14" s="91" t="e">
        <v>#DIV/0!</v>
      </c>
    </row>
    <row r="15" spans="1:13" x14ac:dyDescent="0.25">
      <c r="C15" t="s">
        <v>1</v>
      </c>
      <c r="D15" s="91">
        <v>1</v>
      </c>
      <c r="E15" s="91">
        <v>1</v>
      </c>
      <c r="F15" s="91" t="e">
        <v>#DIV/0!</v>
      </c>
      <c r="G15" s="91">
        <v>0</v>
      </c>
      <c r="H15" s="91">
        <v>0</v>
      </c>
      <c r="I15" s="91" t="e">
        <v>#DIV/0!</v>
      </c>
      <c r="J15" s="91" t="e">
        <v>#DIV/0!</v>
      </c>
      <c r="K15" s="91" t="e">
        <v>#DIV/0!</v>
      </c>
      <c r="L15" s="91" t="e">
        <v>#DIV/0!</v>
      </c>
      <c r="M15" s="91" t="e">
        <v>#DIV/0!</v>
      </c>
    </row>
    <row r="16" spans="1:13" x14ac:dyDescent="0.25">
      <c r="A16" t="s">
        <v>130</v>
      </c>
      <c r="B16" t="s">
        <v>131</v>
      </c>
      <c r="C16" t="s">
        <v>2</v>
      </c>
      <c r="D16" s="91">
        <v>2200</v>
      </c>
      <c r="E16" s="91">
        <v>2200</v>
      </c>
      <c r="F16" s="91" t="e">
        <v>#DIV/0!</v>
      </c>
      <c r="G16" s="91">
        <v>1501</v>
      </c>
      <c r="H16" s="91">
        <v>1501</v>
      </c>
      <c r="I16" s="91" t="e">
        <v>#DIV/0!</v>
      </c>
      <c r="J16" s="91" t="e">
        <v>#DIV/0!</v>
      </c>
      <c r="K16" s="91" t="e">
        <v>#DIV/0!</v>
      </c>
      <c r="L16" s="91" t="e">
        <v>#DIV/0!</v>
      </c>
      <c r="M16" s="91" t="e">
        <v>#DIV/0!</v>
      </c>
    </row>
    <row r="17" spans="1:13" x14ac:dyDescent="0.25">
      <c r="C17" t="s">
        <v>1</v>
      </c>
      <c r="D17" s="91">
        <v>0</v>
      </c>
      <c r="E17" s="91">
        <v>0</v>
      </c>
      <c r="F17" s="91" t="e">
        <v>#DIV/0!</v>
      </c>
      <c r="G17" s="91">
        <v>0</v>
      </c>
      <c r="H17" s="91">
        <v>0</v>
      </c>
      <c r="I17" s="91" t="e">
        <v>#DIV/0!</v>
      </c>
      <c r="J17" s="91" t="e">
        <v>#DIV/0!</v>
      </c>
      <c r="K17" s="91" t="e">
        <v>#DIV/0!</v>
      </c>
      <c r="L17" s="91" t="e">
        <v>#DIV/0!</v>
      </c>
      <c r="M17" s="91" t="e">
        <v>#DIV/0!</v>
      </c>
    </row>
    <row r="18" spans="1:13" x14ac:dyDescent="0.25">
      <c r="A18" t="s">
        <v>132</v>
      </c>
      <c r="B18" t="s">
        <v>133</v>
      </c>
      <c r="C18" t="s">
        <v>2</v>
      </c>
      <c r="D18" s="91">
        <v>10362</v>
      </c>
      <c r="E18" s="91">
        <v>10362</v>
      </c>
      <c r="F18" s="91" t="e">
        <v>#DIV/0!</v>
      </c>
      <c r="G18" s="91">
        <v>7867.6666699999996</v>
      </c>
      <c r="H18" s="91">
        <v>7867.6666699999996</v>
      </c>
      <c r="I18" s="91" t="e">
        <v>#DIV/0!</v>
      </c>
      <c r="J18" s="91" t="e">
        <v>#DIV/0!</v>
      </c>
      <c r="K18" s="91" t="e">
        <v>#DIV/0!</v>
      </c>
      <c r="L18" s="91" t="e">
        <v>#DIV/0!</v>
      </c>
      <c r="M18" s="91" t="e">
        <v>#DIV/0!</v>
      </c>
    </row>
    <row r="19" spans="1:13" x14ac:dyDescent="0.25">
      <c r="C19" t="s">
        <v>1</v>
      </c>
      <c r="D19" s="91">
        <v>0.66666999999999998</v>
      </c>
      <c r="E19" s="91">
        <v>0.66666999999999998</v>
      </c>
      <c r="F19" s="91" t="e">
        <v>#DIV/0!</v>
      </c>
      <c r="G19" s="91">
        <v>0</v>
      </c>
      <c r="H19" s="91">
        <v>0</v>
      </c>
      <c r="I19" s="91" t="e">
        <v>#DIV/0!</v>
      </c>
      <c r="J19" s="91" t="e">
        <v>#DIV/0!</v>
      </c>
      <c r="K19" s="91" t="e">
        <v>#DIV/0!</v>
      </c>
      <c r="L19" s="91" t="e">
        <v>#DIV/0!</v>
      </c>
      <c r="M19" s="91" t="e">
        <v>#DIV/0!</v>
      </c>
    </row>
    <row r="20" spans="1:13" x14ac:dyDescent="0.25">
      <c r="A20" t="s">
        <v>134</v>
      </c>
      <c r="B20" t="s">
        <v>135</v>
      </c>
      <c r="C20" t="s">
        <v>72</v>
      </c>
      <c r="D20" s="91" t="e">
        <v>#DIV/0!</v>
      </c>
      <c r="E20" s="91">
        <v>86.7</v>
      </c>
      <c r="F20" s="91" t="e">
        <v>#DIV/0!</v>
      </c>
      <c r="G20" s="91" t="e">
        <v>#DIV/0!</v>
      </c>
      <c r="H20" s="91">
        <v>91.5</v>
      </c>
      <c r="I20" s="91">
        <v>38.5</v>
      </c>
      <c r="J20" s="91" t="e">
        <v>#DIV/0!</v>
      </c>
      <c r="K20" s="91">
        <v>78.099999999999994</v>
      </c>
      <c r="L20" s="91" t="e">
        <v>#DIV/0!</v>
      </c>
      <c r="M20" s="91">
        <v>91.5</v>
      </c>
    </row>
    <row r="21" spans="1:13" x14ac:dyDescent="0.25">
      <c r="C21" t="s">
        <v>75</v>
      </c>
      <c r="D21" s="91" t="e">
        <v>#DIV/0!</v>
      </c>
      <c r="E21" s="91">
        <v>10.3</v>
      </c>
      <c r="F21" s="91" t="e">
        <v>#DIV/0!</v>
      </c>
      <c r="G21" s="91" t="e">
        <v>#DIV/0!</v>
      </c>
      <c r="H21" s="91">
        <v>10.8</v>
      </c>
      <c r="I21" s="91">
        <v>6</v>
      </c>
      <c r="J21" s="91" t="e">
        <v>#DIV/0!</v>
      </c>
      <c r="K21" s="91">
        <v>8.5</v>
      </c>
      <c r="L21" s="91" t="e">
        <v>#DIV/0!</v>
      </c>
      <c r="M21" s="91">
        <v>10.8</v>
      </c>
    </row>
    <row r="22" spans="1:13" x14ac:dyDescent="0.25">
      <c r="A22" t="s">
        <v>115</v>
      </c>
      <c r="B22" t="s">
        <v>116</v>
      </c>
      <c r="C22" t="s">
        <v>72</v>
      </c>
      <c r="D22" s="91">
        <v>32</v>
      </c>
      <c r="E22" s="91">
        <v>32</v>
      </c>
      <c r="F22" s="91" t="e">
        <v>#DIV/0!</v>
      </c>
      <c r="G22" s="91">
        <v>17</v>
      </c>
      <c r="H22" s="91">
        <v>17</v>
      </c>
      <c r="I22" s="91" t="e">
        <v>#DIV/0!</v>
      </c>
      <c r="J22" s="91" t="e">
        <v>#DIV/0!</v>
      </c>
      <c r="K22" s="91" t="e">
        <v>#DIV/0!</v>
      </c>
      <c r="L22" s="91" t="e">
        <v>#DIV/0!</v>
      </c>
      <c r="M22" s="91" t="e">
        <v>#DIV/0!</v>
      </c>
    </row>
    <row r="23" spans="1:13" x14ac:dyDescent="0.25">
      <c r="A23" t="s">
        <v>136</v>
      </c>
      <c r="B23" t="s">
        <v>137</v>
      </c>
      <c r="C23" t="s">
        <v>72</v>
      </c>
      <c r="D23" s="91" t="e">
        <v>#DIV/0!</v>
      </c>
      <c r="E23" s="91">
        <v>1.7</v>
      </c>
      <c r="F23" s="91" t="e">
        <v>#DIV/0!</v>
      </c>
      <c r="G23" s="91" t="e">
        <v>#DIV/0!</v>
      </c>
      <c r="H23" s="91">
        <v>0.6</v>
      </c>
      <c r="I23" s="91">
        <v>0.7</v>
      </c>
      <c r="J23" s="91" t="e">
        <v>#DIV/0!</v>
      </c>
      <c r="K23" s="91">
        <v>4.5999999999999996</v>
      </c>
      <c r="L23" s="91" t="e">
        <v>#DIV/0!</v>
      </c>
      <c r="M23" s="91">
        <v>0.6</v>
      </c>
    </row>
    <row r="24" spans="1:13" x14ac:dyDescent="0.25">
      <c r="C24" t="s">
        <v>75</v>
      </c>
      <c r="D24" s="91" t="e">
        <v>#DIV/0!</v>
      </c>
      <c r="E24" s="91">
        <v>0</v>
      </c>
      <c r="F24" s="91" t="e">
        <v>#DIV/0!</v>
      </c>
      <c r="G24" s="91" t="e">
        <v>#DIV/0!</v>
      </c>
      <c r="H24" s="91">
        <v>0</v>
      </c>
      <c r="I24" s="91">
        <v>0.1</v>
      </c>
      <c r="J24" s="91" t="e">
        <v>#DIV/0!</v>
      </c>
      <c r="K24" s="91">
        <v>0.4</v>
      </c>
      <c r="L24" s="91" t="e">
        <v>#DIV/0!</v>
      </c>
      <c r="M24" s="91">
        <v>0</v>
      </c>
    </row>
    <row r="25" spans="1:13" x14ac:dyDescent="0.25">
      <c r="A25" t="s">
        <v>138</v>
      </c>
      <c r="B25" t="s">
        <v>139</v>
      </c>
      <c r="C25" t="s">
        <v>2</v>
      </c>
      <c r="D25" s="91" t="e">
        <v>#DIV/0!</v>
      </c>
      <c r="E25" s="91">
        <v>828</v>
      </c>
      <c r="F25" s="91" t="e">
        <v>#DIV/0!</v>
      </c>
      <c r="G25" s="91" t="e">
        <v>#DIV/0!</v>
      </c>
      <c r="H25" s="91">
        <v>598</v>
      </c>
      <c r="I25" s="91" t="e">
        <v>#DIV/0!</v>
      </c>
      <c r="J25" s="91" t="e">
        <v>#DIV/0!</v>
      </c>
      <c r="K25" s="91" t="e">
        <v>#DIV/0!</v>
      </c>
      <c r="L25" s="91" t="e">
        <v>#DIV/0!</v>
      </c>
      <c r="M25" s="91" t="e">
        <v>#DIV/0!</v>
      </c>
    </row>
    <row r="26" spans="1:13" x14ac:dyDescent="0.25">
      <c r="C26" t="s">
        <v>1</v>
      </c>
      <c r="D26" s="91" t="e">
        <v>#DIV/0!</v>
      </c>
      <c r="E26" s="91">
        <v>189</v>
      </c>
      <c r="F26" s="91" t="e">
        <v>#DIV/0!</v>
      </c>
      <c r="G26" s="91" t="e">
        <v>#DIV/0!</v>
      </c>
      <c r="H26" s="91">
        <v>142</v>
      </c>
      <c r="I26" s="91" t="e">
        <v>#DIV/0!</v>
      </c>
      <c r="J26" s="91" t="e">
        <v>#DIV/0!</v>
      </c>
      <c r="K26" s="91" t="e">
        <v>#DIV/0!</v>
      </c>
      <c r="L26" s="91" t="e">
        <v>#DIV/0!</v>
      </c>
      <c r="M26" s="91" t="e">
        <v>#DIV/0!</v>
      </c>
    </row>
    <row r="27" spans="1:13" x14ac:dyDescent="0.25">
      <c r="A27" t="s">
        <v>117</v>
      </c>
      <c r="B27" t="s">
        <v>118</v>
      </c>
      <c r="C27" t="s">
        <v>2</v>
      </c>
      <c r="D27" s="91">
        <v>67</v>
      </c>
      <c r="E27" s="91">
        <v>76</v>
      </c>
      <c r="F27" s="91" t="e">
        <v>#DIV/0!</v>
      </c>
      <c r="G27" s="91">
        <v>5</v>
      </c>
      <c r="H27" s="91">
        <v>5</v>
      </c>
      <c r="I27" s="91" t="e">
        <v>#DIV/0!</v>
      </c>
      <c r="J27" s="91" t="e">
        <v>#DIV/0!</v>
      </c>
      <c r="K27" s="91" t="e">
        <v>#DIV/0!</v>
      </c>
      <c r="L27" s="91" t="e">
        <v>#DIV/0!</v>
      </c>
      <c r="M27" s="91" t="e">
        <v>#DIV/0!</v>
      </c>
    </row>
    <row r="28" spans="1:13" x14ac:dyDescent="0.25">
      <c r="C28" t="s">
        <v>1</v>
      </c>
      <c r="D28" s="91">
        <v>58</v>
      </c>
      <c r="E28" s="91">
        <v>58</v>
      </c>
      <c r="F28" s="91" t="e">
        <v>#DIV/0!</v>
      </c>
      <c r="G28" s="91">
        <v>0</v>
      </c>
      <c r="H28" s="91">
        <v>0</v>
      </c>
      <c r="I28" s="91" t="e">
        <v>#DIV/0!</v>
      </c>
      <c r="J28" s="91" t="e">
        <v>#DIV/0!</v>
      </c>
      <c r="K28" s="91" t="e">
        <v>#DIV/0!</v>
      </c>
      <c r="L28" s="91" t="e">
        <v>#DIV/0!</v>
      </c>
      <c r="M28" s="91" t="e">
        <v>#DIV/0!</v>
      </c>
    </row>
    <row r="29" spans="1:13" x14ac:dyDescent="0.25">
      <c r="A29" t="s">
        <v>119</v>
      </c>
      <c r="B29" t="s">
        <v>120</v>
      </c>
      <c r="C29" t="s">
        <v>72</v>
      </c>
      <c r="D29" s="91" t="e">
        <v>#DIV/0!</v>
      </c>
      <c r="E29" s="91" t="e">
        <v>#DIV/0!</v>
      </c>
      <c r="F29" s="91" t="e">
        <v>#DIV/0!</v>
      </c>
      <c r="G29" s="91" t="e">
        <v>#DIV/0!</v>
      </c>
      <c r="H29" s="91" t="e">
        <v>#DIV/0!</v>
      </c>
      <c r="I29" s="91" t="e">
        <v>#DIV/0!</v>
      </c>
      <c r="J29" s="91" t="e">
        <v>#DIV/0!</v>
      </c>
      <c r="K29" s="91" t="e">
        <v>#DIV/0!</v>
      </c>
      <c r="L29" s="91" t="e">
        <v>#DIV/0!</v>
      </c>
      <c r="M29" s="91" t="e">
        <v>#DIV/0!</v>
      </c>
    </row>
    <row r="30" spans="1:13" x14ac:dyDescent="0.25">
      <c r="A30" t="s">
        <v>140</v>
      </c>
      <c r="B30" t="s">
        <v>141</v>
      </c>
      <c r="C30" t="s">
        <v>2</v>
      </c>
      <c r="D30" s="91" t="e">
        <v>#DIV/0!</v>
      </c>
      <c r="E30" s="91">
        <v>867</v>
      </c>
      <c r="F30" s="91" t="e">
        <v>#DIV/0!</v>
      </c>
      <c r="G30" s="91" t="e">
        <v>#DIV/0!</v>
      </c>
      <c r="H30" s="91">
        <v>618</v>
      </c>
      <c r="I30" s="91">
        <v>77</v>
      </c>
      <c r="J30" s="91" t="e">
        <v>#DIV/0!</v>
      </c>
      <c r="K30" s="91">
        <v>172</v>
      </c>
      <c r="L30" s="91" t="e">
        <v>#DIV/0!</v>
      </c>
      <c r="M30" s="91">
        <v>618</v>
      </c>
    </row>
    <row r="31" spans="1:13" x14ac:dyDescent="0.25">
      <c r="A31" t="s">
        <v>142</v>
      </c>
      <c r="B31" t="s">
        <v>143</v>
      </c>
      <c r="C31" t="s">
        <v>2</v>
      </c>
      <c r="D31" s="91" t="e">
        <v>#DIV/0!</v>
      </c>
      <c r="E31" s="91">
        <v>828</v>
      </c>
      <c r="F31" s="91" t="e">
        <v>#DIV/0!</v>
      </c>
      <c r="G31" s="91" t="e">
        <v>#DIV/0!</v>
      </c>
      <c r="H31" s="91">
        <v>598</v>
      </c>
      <c r="I31" s="91" t="e">
        <v>#DIV/0!</v>
      </c>
      <c r="J31" s="91" t="e">
        <v>#DIV/0!</v>
      </c>
      <c r="K31" s="91" t="e">
        <v>#DIV/0!</v>
      </c>
      <c r="L31" s="91" t="e">
        <v>#DIV/0!</v>
      </c>
      <c r="M31" s="91" t="e">
        <v>#DIV/0!</v>
      </c>
    </row>
    <row r="32" spans="1:13" x14ac:dyDescent="0.25">
      <c r="C32" t="s">
        <v>1</v>
      </c>
      <c r="D32" s="91" t="e">
        <v>#DIV/0!</v>
      </c>
      <c r="E32" s="91">
        <v>22</v>
      </c>
      <c r="F32" s="91" t="e">
        <v>#DIV/0!</v>
      </c>
      <c r="G32" s="91" t="e">
        <v>#DIV/0!</v>
      </c>
      <c r="H32" s="91">
        <v>18</v>
      </c>
      <c r="I32" s="91" t="e">
        <v>#DIV/0!</v>
      </c>
      <c r="J32" s="91" t="e">
        <v>#DIV/0!</v>
      </c>
      <c r="K32" s="91" t="e">
        <v>#DIV/0!</v>
      </c>
      <c r="L32" s="91" t="e">
        <v>#DIV/0!</v>
      </c>
      <c r="M32" s="91" t="e">
        <v>#DIV/0!</v>
      </c>
    </row>
    <row r="33" spans="1:13" x14ac:dyDescent="0.25">
      <c r="A33" t="s">
        <v>144</v>
      </c>
      <c r="B33" t="s">
        <v>145</v>
      </c>
      <c r="C33" t="s">
        <v>71</v>
      </c>
      <c r="D33" s="91" t="e">
        <v>#DIV/0!</v>
      </c>
      <c r="E33" s="91">
        <v>72.900000000000006</v>
      </c>
      <c r="F33" s="91" t="e">
        <v>#DIV/0!</v>
      </c>
      <c r="G33" s="91" t="e">
        <v>#DIV/0!</v>
      </c>
      <c r="H33" s="91">
        <v>72.900000000000006</v>
      </c>
      <c r="I33" s="91" t="e">
        <v>#DIV/0!</v>
      </c>
      <c r="J33" s="91" t="e">
        <v>#DIV/0!</v>
      </c>
      <c r="K33" s="91" t="e">
        <v>#DIV/0!</v>
      </c>
      <c r="L33" s="91" t="e">
        <v>#DIV/0!</v>
      </c>
      <c r="M33" s="91" t="e">
        <v>#DIV/0!</v>
      </c>
    </row>
    <row r="34" spans="1:13" x14ac:dyDescent="0.25">
      <c r="A34" t="s">
        <v>146</v>
      </c>
      <c r="B34" t="s">
        <v>147</v>
      </c>
      <c r="C34" t="s">
        <v>71</v>
      </c>
      <c r="D34" s="91" t="e">
        <v>#DIV/0!</v>
      </c>
      <c r="E34" s="91">
        <v>62.6</v>
      </c>
      <c r="F34" s="91" t="e">
        <v>#DIV/0!</v>
      </c>
      <c r="G34" s="91" t="e">
        <v>#DIV/0!</v>
      </c>
      <c r="H34" s="91">
        <v>62.6</v>
      </c>
      <c r="I34" s="91" t="e">
        <v>#DIV/0!</v>
      </c>
      <c r="J34" s="91" t="e">
        <v>#DIV/0!</v>
      </c>
      <c r="K34" s="91" t="e">
        <v>#DIV/0!</v>
      </c>
      <c r="L34" s="91" t="e">
        <v>#DIV/0!</v>
      </c>
      <c r="M34" s="91" t="e">
        <v>#DIV/0!</v>
      </c>
    </row>
    <row r="35" spans="1:13" x14ac:dyDescent="0.25">
      <c r="A35" t="s">
        <v>148</v>
      </c>
      <c r="B35" t="s">
        <v>149</v>
      </c>
      <c r="C35" t="s">
        <v>2</v>
      </c>
      <c r="D35" s="91" t="e">
        <v>#DIV/0!</v>
      </c>
      <c r="E35" s="91">
        <v>837</v>
      </c>
      <c r="F35" s="91" t="e">
        <v>#DIV/0!</v>
      </c>
      <c r="G35" s="91" t="e">
        <v>#DIV/0!</v>
      </c>
      <c r="H35" s="91">
        <v>576</v>
      </c>
      <c r="I35" s="91">
        <v>78</v>
      </c>
      <c r="J35" s="91" t="e">
        <v>#DIV/0!</v>
      </c>
      <c r="K35" s="91">
        <v>183</v>
      </c>
      <c r="L35" s="91" t="e">
        <v>#DIV/0!</v>
      </c>
      <c r="M35" s="91">
        <v>576</v>
      </c>
    </row>
    <row r="36" spans="1:13" x14ac:dyDescent="0.25">
      <c r="C36" t="s">
        <v>1</v>
      </c>
      <c r="D36" s="91" t="e">
        <v>#DIV/0!</v>
      </c>
      <c r="E36" s="91">
        <v>16</v>
      </c>
      <c r="F36" s="91" t="e">
        <v>#DIV/0!</v>
      </c>
      <c r="G36" s="91" t="e">
        <v>#DIV/0!</v>
      </c>
      <c r="H36" s="91">
        <v>1</v>
      </c>
      <c r="I36" s="91">
        <v>1</v>
      </c>
      <c r="J36" s="91" t="e">
        <v>#DIV/0!</v>
      </c>
      <c r="K36" s="91">
        <v>14</v>
      </c>
      <c r="L36" s="91" t="e">
        <v>#DIV/0!</v>
      </c>
      <c r="M36" s="91">
        <v>1</v>
      </c>
    </row>
    <row r="37" spans="1:13" x14ac:dyDescent="0.25">
      <c r="A37" t="s">
        <v>28</v>
      </c>
      <c r="B37" t="s">
        <v>150</v>
      </c>
      <c r="C37" t="s">
        <v>73</v>
      </c>
      <c r="D37" s="91">
        <v>41.883330000000001</v>
      </c>
      <c r="E37" s="91">
        <v>150.64167</v>
      </c>
      <c r="F37" s="91" t="e">
        <v>#DIV/0!</v>
      </c>
      <c r="G37" s="91">
        <v>41.883330000000001</v>
      </c>
      <c r="H37" s="91">
        <v>150.64167</v>
      </c>
      <c r="I37" s="91" t="e">
        <v>#DIV/0!</v>
      </c>
      <c r="J37" s="91" t="e">
        <v>#DIV/0!</v>
      </c>
      <c r="K37" s="91" t="e">
        <v>#DIV/0!</v>
      </c>
      <c r="L37" s="91" t="e">
        <v>#DIV/0!</v>
      </c>
      <c r="M37" s="91" t="e">
        <v>#DIV/0!</v>
      </c>
    </row>
    <row r="38" spans="1:13" x14ac:dyDescent="0.25">
      <c r="A38" t="s">
        <v>30</v>
      </c>
      <c r="B38" t="s">
        <v>151</v>
      </c>
      <c r="C38" t="s">
        <v>2</v>
      </c>
      <c r="D38" s="91">
        <v>330</v>
      </c>
      <c r="E38" s="91">
        <v>330</v>
      </c>
      <c r="F38" s="91" t="e">
        <v>#DIV/0!</v>
      </c>
      <c r="G38" s="91">
        <v>330</v>
      </c>
      <c r="H38" s="91">
        <v>330</v>
      </c>
      <c r="I38" s="91" t="e">
        <v>#DIV/0!</v>
      </c>
      <c r="J38" s="91" t="e">
        <v>#DIV/0!</v>
      </c>
      <c r="K38" s="91" t="e">
        <v>#DIV/0!</v>
      </c>
      <c r="L38" s="91" t="e">
        <v>#DIV/0!</v>
      </c>
      <c r="M38" s="91" t="e">
        <v>#DIV/0!</v>
      </c>
    </row>
    <row r="39" spans="1:13" x14ac:dyDescent="0.25">
      <c r="C39" t="s">
        <v>1</v>
      </c>
      <c r="D39" s="91">
        <v>327</v>
      </c>
      <c r="E39" s="91">
        <v>327</v>
      </c>
      <c r="F39" s="91" t="e">
        <v>#DIV/0!</v>
      </c>
      <c r="G39" s="91">
        <v>327</v>
      </c>
      <c r="H39" s="91">
        <v>327</v>
      </c>
      <c r="I39" s="91" t="e">
        <v>#DIV/0!</v>
      </c>
      <c r="J39" s="91" t="e">
        <v>#DIV/0!</v>
      </c>
      <c r="K39" s="91" t="e">
        <v>#DIV/0!</v>
      </c>
      <c r="L39" s="91" t="e">
        <v>#DIV/0!</v>
      </c>
      <c r="M39" s="91" t="e">
        <v>#DIV/0!</v>
      </c>
    </row>
    <row r="40" spans="1:13" x14ac:dyDescent="0.25">
      <c r="A40" t="s">
        <v>46</v>
      </c>
      <c r="B40" t="s">
        <v>152</v>
      </c>
      <c r="C40" t="s">
        <v>2</v>
      </c>
      <c r="D40" s="91">
        <v>3</v>
      </c>
      <c r="E40" s="91">
        <v>3</v>
      </c>
      <c r="F40" s="91" t="e">
        <v>#DIV/0!</v>
      </c>
      <c r="G40" s="91">
        <v>1</v>
      </c>
      <c r="H40" s="91">
        <v>1</v>
      </c>
      <c r="I40" s="91" t="e">
        <v>#DIV/0!</v>
      </c>
      <c r="J40" s="91">
        <v>2</v>
      </c>
      <c r="K40" s="91">
        <v>2</v>
      </c>
      <c r="L40" s="91">
        <v>1</v>
      </c>
      <c r="M40" s="91">
        <v>1</v>
      </c>
    </row>
    <row r="41" spans="1:13" x14ac:dyDescent="0.25">
      <c r="C41" t="s">
        <v>1</v>
      </c>
      <c r="D41" s="91">
        <v>0</v>
      </c>
      <c r="E41" s="91">
        <v>0</v>
      </c>
      <c r="F41" s="91" t="e">
        <v>#DIV/0!</v>
      </c>
      <c r="G41" s="91">
        <v>0</v>
      </c>
      <c r="H41" s="91">
        <v>0</v>
      </c>
      <c r="I41" s="91" t="e">
        <v>#DIV/0!</v>
      </c>
      <c r="J41" s="91">
        <v>0</v>
      </c>
      <c r="K41" s="91">
        <v>0</v>
      </c>
      <c r="L41" s="91">
        <v>0</v>
      </c>
      <c r="M41" s="91">
        <v>0</v>
      </c>
    </row>
    <row r="42" spans="1:13" x14ac:dyDescent="0.25">
      <c r="A42" t="s">
        <v>32</v>
      </c>
      <c r="B42" t="s">
        <v>153</v>
      </c>
      <c r="C42" t="s">
        <v>2</v>
      </c>
      <c r="D42" s="91">
        <v>1685686.8</v>
      </c>
      <c r="E42" s="91">
        <v>1685686.8</v>
      </c>
      <c r="F42" s="91" t="e">
        <v>#DIV/0!</v>
      </c>
      <c r="G42" s="91">
        <v>1685686.8</v>
      </c>
      <c r="H42" s="91">
        <v>1685686.8</v>
      </c>
      <c r="I42" s="91" t="e">
        <v>#DIV/0!</v>
      </c>
      <c r="J42" s="91" t="e">
        <v>#DIV/0!</v>
      </c>
      <c r="K42" s="91" t="e">
        <v>#DIV/0!</v>
      </c>
      <c r="L42" s="91" t="e">
        <v>#DIV/0!</v>
      </c>
      <c r="M42" s="91" t="e">
        <v>#DIV/0!</v>
      </c>
    </row>
    <row r="43" spans="1:13" x14ac:dyDescent="0.25">
      <c r="C43" t="s">
        <v>1</v>
      </c>
      <c r="D43" s="91">
        <v>74.866669999999999</v>
      </c>
      <c r="E43" s="91">
        <v>74.866669999999999</v>
      </c>
      <c r="F43" s="91" t="e">
        <v>#DIV/0!</v>
      </c>
      <c r="G43" s="91" t="e">
        <v>#DIV/0!</v>
      </c>
      <c r="H43" s="91" t="e">
        <v>#DIV/0!</v>
      </c>
      <c r="I43" s="91" t="e">
        <v>#DIV/0!</v>
      </c>
      <c r="J43" s="91" t="e">
        <v>#DIV/0!</v>
      </c>
      <c r="K43" s="91" t="e">
        <v>#DIV/0!</v>
      </c>
      <c r="L43" s="91" t="e">
        <v>#DIV/0!</v>
      </c>
      <c r="M43" s="91" t="e">
        <v>#DIV/0!</v>
      </c>
    </row>
    <row r="44" spans="1:13" x14ac:dyDescent="0.25">
      <c r="A44" t="s">
        <v>154</v>
      </c>
      <c r="B44" t="s">
        <v>155</v>
      </c>
      <c r="C44" t="s">
        <v>2</v>
      </c>
      <c r="D44" s="91" t="e">
        <v>#DIV/0!</v>
      </c>
      <c r="E44" s="91">
        <v>377577</v>
      </c>
      <c r="F44" s="91">
        <v>377577</v>
      </c>
      <c r="G44" s="91" t="e">
        <v>#DIV/0!</v>
      </c>
      <c r="H44" s="91">
        <v>377577</v>
      </c>
      <c r="I44" s="91" t="e">
        <v>#DIV/0!</v>
      </c>
      <c r="J44" s="91" t="e">
        <v>#DIV/0!</v>
      </c>
      <c r="K44" s="91" t="e">
        <v>#DIV/0!</v>
      </c>
      <c r="L44" s="91" t="e">
        <v>#DIV/0!</v>
      </c>
      <c r="M44" s="91" t="e">
        <v>#DIV/0!</v>
      </c>
    </row>
    <row r="45" spans="1:13" x14ac:dyDescent="0.25">
      <c r="C45" t="s">
        <v>1</v>
      </c>
      <c r="D45" s="91" t="e">
        <v>#DIV/0!</v>
      </c>
      <c r="E45" s="91">
        <v>69847</v>
      </c>
      <c r="F45" s="91">
        <v>69847</v>
      </c>
      <c r="G45" s="91" t="e">
        <v>#DIV/0!</v>
      </c>
      <c r="H45" s="91">
        <v>69847</v>
      </c>
      <c r="I45" s="91" t="e">
        <v>#DIV/0!</v>
      </c>
      <c r="J45" s="91" t="e">
        <v>#DIV/0!</v>
      </c>
      <c r="K45" s="91" t="e">
        <v>#DIV/0!</v>
      </c>
      <c r="L45" s="91" t="e">
        <v>#DIV/0!</v>
      </c>
      <c r="M45" s="91" t="e">
        <v>#DIV/0!</v>
      </c>
    </row>
    <row r="46" spans="1:13" x14ac:dyDescent="0.25">
      <c r="A46" t="s">
        <v>24</v>
      </c>
      <c r="B46" t="s">
        <v>156</v>
      </c>
      <c r="C46" t="s">
        <v>2</v>
      </c>
      <c r="D46" s="91">
        <v>71</v>
      </c>
      <c r="E46" s="91" t="e">
        <v>#DIV/0!</v>
      </c>
      <c r="F46" s="91" t="e">
        <v>#DIV/0!</v>
      </c>
      <c r="G46" s="91" t="e">
        <v>#DIV/0!</v>
      </c>
      <c r="H46" s="91" t="e">
        <v>#DIV/0!</v>
      </c>
      <c r="I46" s="91" t="e">
        <v>#DIV/0!</v>
      </c>
      <c r="J46" s="91" t="e">
        <v>#DIV/0!</v>
      </c>
      <c r="K46" s="91" t="e">
        <v>#DIV/0!</v>
      </c>
      <c r="L46" s="91" t="e">
        <v>#DIV/0!</v>
      </c>
      <c r="M46" s="91" t="e">
        <v>#DIV/0!</v>
      </c>
    </row>
    <row r="47" spans="1:13" x14ac:dyDescent="0.25">
      <c r="C47" t="s">
        <v>1</v>
      </c>
      <c r="D47" s="91">
        <v>57</v>
      </c>
      <c r="E47" s="91" t="e">
        <v>#DIV/0!</v>
      </c>
      <c r="F47" s="91" t="e">
        <v>#DIV/0!</v>
      </c>
      <c r="G47" s="91" t="e">
        <v>#DIV/0!</v>
      </c>
      <c r="H47" s="91" t="e">
        <v>#DIV/0!</v>
      </c>
      <c r="I47" s="91" t="e">
        <v>#DIV/0!</v>
      </c>
      <c r="J47" s="91" t="e">
        <v>#DIV/0!</v>
      </c>
      <c r="K47" s="91" t="e">
        <v>#DIV/0!</v>
      </c>
      <c r="L47" s="91" t="e">
        <v>#DIV/0!</v>
      </c>
      <c r="M47" s="91" t="e">
        <v>#DIV/0!</v>
      </c>
    </row>
    <row r="48" spans="1:13" x14ac:dyDescent="0.25">
      <c r="A48" t="s">
        <v>25</v>
      </c>
      <c r="B48" t="s">
        <v>157</v>
      </c>
      <c r="C48" t="s">
        <v>73</v>
      </c>
      <c r="D48" s="91">
        <v>103</v>
      </c>
      <c r="E48" s="91" t="e">
        <v>#DIV/0!</v>
      </c>
      <c r="F48" s="91" t="e">
        <v>#DIV/0!</v>
      </c>
      <c r="G48" s="91" t="e">
        <v>#DIV/0!</v>
      </c>
      <c r="H48" s="91" t="e">
        <v>#DIV/0!</v>
      </c>
      <c r="I48" s="91" t="e">
        <v>#DIV/0!</v>
      </c>
      <c r="J48" s="91" t="e">
        <v>#DIV/0!</v>
      </c>
      <c r="K48" s="91" t="e">
        <v>#DIV/0!</v>
      </c>
      <c r="L48" s="91" t="e">
        <v>#DIV/0!</v>
      </c>
      <c r="M48" s="91" t="e">
        <v>#DIV/0!</v>
      </c>
    </row>
  </sheetData>
  <pageMargins left="0.7" right="0.7" top="0.75" bottom="0.75" header="0.3" footer="0.3"/>
  <drawing r:id="rId2"/>
  <extLst>
    <ext xmlns:x14="http://schemas.microsoft.com/office/spreadsheetml/2009/9/main" uri="{A8765BA9-456A-4dab-B4F3-ACF838C121DE}">
      <x14:slicerList>
        <x14:slicer r:id="rId3"/>
      </x14:slicerList>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8</vt:i4>
      </vt:variant>
    </vt:vector>
  </HeadingPairs>
  <TitlesOfParts>
    <vt:vector size="8" baseType="lpstr">
      <vt:lpstr>Sommaire</vt:lpstr>
      <vt:lpstr>Guide</vt:lpstr>
      <vt:lpstr>Maille d'appréciation</vt:lpstr>
      <vt:lpstr>Annexe 2-1</vt:lpstr>
      <vt:lpstr>Annexe 2-2</vt:lpstr>
      <vt:lpstr>Annexe 3</vt:lpstr>
      <vt:lpstr>Annexe 3 - Détail par OC</vt:lpstr>
      <vt:lpstr>VUE_KPI_FTTH</vt:lpstr>
    </vt:vector>
  </TitlesOfParts>
  <Company>ARCEP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TCHIBOUKDJIAN Victor</dc:creator>
  <cp:lastModifiedBy>MMMM5904</cp:lastModifiedBy>
  <dcterms:created xsi:type="dcterms:W3CDTF">2021-03-24T14:12:08Z</dcterms:created>
  <dcterms:modified xsi:type="dcterms:W3CDTF">2021-07-21T18:19:15Z</dcterms:modified>
</cp:coreProperties>
</file>