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C:\Users\ojle6725\Documents\Local\DRG\fichiers travail\KPI FTTH\juillet 2021\publication\"/>
    </mc:Choice>
  </mc:AlternateContent>
  <bookViews>
    <workbookView xWindow="0" yWindow="0" windowWidth="15600" windowHeight="11190" activeTab="5"/>
  </bookViews>
  <sheets>
    <sheet name="Sommaire" sheetId="7" r:id="rId1"/>
    <sheet name="Guide" sheetId="6" r:id="rId2"/>
    <sheet name="Maille d'appréciation" sheetId="13" r:id="rId3"/>
    <sheet name="Annexe 2-1" sheetId="1" r:id="rId4"/>
    <sheet name="Annexe 2-2" sheetId="14" r:id="rId5"/>
    <sheet name="Annexe 3" sheetId="15" r:id="rId6"/>
    <sheet name="VUE_KPI_FTTH" sheetId="17" state="hidden" r:id="rId7"/>
  </sheets>
  <definedNames>
    <definedName name="Segment_annee_mois">#N/A</definedName>
  </definedNames>
  <calcPr calcId="152511"/>
  <pivotCaches>
    <pivotCache cacheId="0"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I29" i="1"/>
  <c r="C38" i="15"/>
  <c r="D37" i="1"/>
  <c r="H7" i="14"/>
  <c r="C26" i="1"/>
  <c r="G16" i="1"/>
  <c r="D30" i="15"/>
  <c r="D23" i="15"/>
  <c r="D21" i="1"/>
  <c r="G10" i="14"/>
  <c r="E20" i="14"/>
  <c r="F28" i="1"/>
  <c r="J15" i="1"/>
  <c r="H21" i="14"/>
  <c r="H4" i="15"/>
  <c r="I18" i="1"/>
  <c r="H28" i="15"/>
  <c r="F33" i="1"/>
  <c r="G24" i="15"/>
  <c r="C18" i="14"/>
  <c r="D18" i="14"/>
  <c r="H20" i="15"/>
  <c r="G20" i="1"/>
  <c r="H16" i="15"/>
  <c r="G30" i="15"/>
  <c r="D18" i="1"/>
  <c r="E22" i="1"/>
  <c r="D36" i="1"/>
  <c r="E14" i="14"/>
  <c r="E37" i="1"/>
  <c r="J32" i="1"/>
  <c r="J24" i="14"/>
  <c r="D15" i="1"/>
  <c r="F38" i="15"/>
  <c r="E21" i="14"/>
  <c r="F9" i="14"/>
  <c r="H28" i="1"/>
  <c r="E25" i="1"/>
  <c r="D7" i="1"/>
  <c r="H13" i="14"/>
  <c r="E35" i="15"/>
  <c r="J4" i="1"/>
  <c r="D38" i="1"/>
  <c r="E11" i="1"/>
  <c r="D13" i="1"/>
  <c r="G18" i="15"/>
  <c r="F5" i="1"/>
  <c r="J20" i="14"/>
  <c r="C20" i="1"/>
  <c r="I20" i="1"/>
  <c r="E28" i="1"/>
  <c r="I8" i="1"/>
  <c r="F19" i="15"/>
  <c r="E4" i="14"/>
  <c r="G31" i="15"/>
  <c r="H26" i="1"/>
  <c r="E21" i="15"/>
  <c r="H14" i="14"/>
  <c r="G8" i="1"/>
  <c r="G35" i="15"/>
  <c r="E5" i="14"/>
  <c r="E13" i="15"/>
  <c r="H13" i="1"/>
  <c r="E8" i="1"/>
  <c r="G4" i="14"/>
  <c r="F16" i="15"/>
  <c r="G29" i="1"/>
  <c r="I32" i="1"/>
  <c r="H14" i="15"/>
  <c r="G21" i="14"/>
  <c r="H31" i="15"/>
  <c r="I16" i="1"/>
  <c r="H30" i="1"/>
  <c r="C7" i="14"/>
  <c r="F10" i="14"/>
  <c r="G4" i="1"/>
  <c r="G37" i="1"/>
  <c r="C30" i="1"/>
  <c r="F13" i="14"/>
  <c r="J11" i="1"/>
  <c r="G30" i="1"/>
  <c r="D20" i="14"/>
  <c r="G28" i="1"/>
  <c r="F18" i="15"/>
  <c r="D7" i="14"/>
  <c r="E28" i="15"/>
  <c r="E31" i="15"/>
  <c r="D21" i="15"/>
  <c r="I7" i="14"/>
  <c r="J20" i="1"/>
  <c r="C11" i="1"/>
  <c r="H20" i="1"/>
  <c r="J21" i="14"/>
  <c r="J14" i="1"/>
  <c r="I33" i="1"/>
  <c r="D12" i="14"/>
  <c r="F21" i="1"/>
  <c r="H4" i="14"/>
  <c r="C31" i="15"/>
  <c r="C14" i="1"/>
  <c r="C4" i="15"/>
  <c r="H20" i="14"/>
  <c r="E38" i="15"/>
  <c r="I13" i="14"/>
  <c r="E13" i="1"/>
  <c r="D9" i="14"/>
  <c r="J40" i="1"/>
  <c r="H23" i="14"/>
  <c r="E12" i="14"/>
  <c r="C5" i="15"/>
  <c r="C19" i="1"/>
  <c r="F14" i="15"/>
  <c r="H18" i="14"/>
  <c r="D4" i="1"/>
  <c r="H10" i="14"/>
  <c r="G32" i="1"/>
  <c r="C21" i="14"/>
  <c r="I30" i="1"/>
  <c r="H11" i="1"/>
  <c r="F36" i="1"/>
  <c r="G5" i="14"/>
  <c r="E20" i="15"/>
  <c r="D29" i="1"/>
  <c r="I41" i="1"/>
  <c r="F28" i="15"/>
  <c r="F18" i="1"/>
  <c r="I21" i="14"/>
  <c r="I34" i="1"/>
  <c r="G18" i="1"/>
  <c r="F20" i="1"/>
  <c r="C22" i="1"/>
  <c r="F12" i="14"/>
  <c r="C20" i="14"/>
  <c r="F34" i="15"/>
  <c r="G20" i="14"/>
  <c r="E30" i="15"/>
  <c r="F23" i="15"/>
  <c r="E36" i="1"/>
  <c r="D24" i="14"/>
  <c r="I28" i="1"/>
  <c r="H29" i="1"/>
  <c r="I4" i="1"/>
  <c r="I25" i="1"/>
  <c r="H4" i="1"/>
  <c r="D11" i="1"/>
  <c r="C15" i="14"/>
  <c r="J17" i="14"/>
  <c r="G26" i="1"/>
  <c r="H7" i="1"/>
  <c r="E41" i="1"/>
  <c r="I21" i="1"/>
  <c r="J25" i="1"/>
  <c r="G33" i="1"/>
  <c r="J36" i="1"/>
  <c r="G40" i="1"/>
  <c r="C41" i="1"/>
  <c r="I11" i="1"/>
  <c r="E13" i="14"/>
  <c r="G4" i="15"/>
  <c r="E24" i="14"/>
  <c r="G34" i="1"/>
  <c r="F37" i="1"/>
  <c r="E26" i="1"/>
  <c r="H15" i="14"/>
  <c r="E32" i="1"/>
  <c r="F7" i="1"/>
  <c r="C32" i="1"/>
  <c r="I19" i="1"/>
  <c r="E7" i="1"/>
  <c r="F30" i="1"/>
  <c r="D16" i="1"/>
  <c r="I18" i="14"/>
  <c r="F4" i="14"/>
  <c r="H30" i="15"/>
  <c r="C4" i="14"/>
  <c r="G38" i="1"/>
  <c r="C9" i="14"/>
  <c r="D19" i="1"/>
  <c r="G13" i="1"/>
  <c r="J9" i="14"/>
  <c r="J14" i="14"/>
  <c r="C28" i="15"/>
  <c r="C38" i="1"/>
  <c r="H13" i="15"/>
  <c r="F19" i="1"/>
  <c r="D14" i="15"/>
  <c r="D27" i="15"/>
  <c r="H18" i="1"/>
  <c r="H32" i="1"/>
  <c r="E17" i="15"/>
  <c r="J34" i="1"/>
  <c r="E37" i="15"/>
  <c r="C5" i="1"/>
  <c r="H37" i="15"/>
  <c r="I7" i="15"/>
  <c r="J7" i="1"/>
  <c r="J26" i="1"/>
  <c r="F11" i="1"/>
  <c r="I37" i="1"/>
  <c r="C29" i="1"/>
  <c r="F15" i="14"/>
  <c r="D34" i="15"/>
  <c r="J8" i="1"/>
  <c r="H17" i="15"/>
  <c r="F23" i="14"/>
  <c r="G19" i="1"/>
  <c r="G7" i="14"/>
  <c r="G21" i="1"/>
  <c r="G38" i="15"/>
  <c r="D37" i="15"/>
  <c r="I8" i="15"/>
  <c r="I17" i="14"/>
  <c r="G12" i="14"/>
  <c r="E18" i="15"/>
  <c r="F18" i="14"/>
  <c r="J33" i="1"/>
  <c r="C34" i="15"/>
  <c r="F5" i="14"/>
  <c r="F14" i="1"/>
  <c r="H21" i="1"/>
  <c r="D15" i="14"/>
  <c r="G18" i="14"/>
  <c r="G10" i="1"/>
  <c r="J21" i="1"/>
  <c r="H16" i="1"/>
  <c r="E27" i="15"/>
  <c r="H10" i="1"/>
  <c r="C30" i="15"/>
  <c r="D16" i="15"/>
  <c r="F8" i="1"/>
  <c r="J10" i="1"/>
  <c r="H38" i="1"/>
  <c r="D20" i="15"/>
  <c r="G13" i="14"/>
  <c r="G20" i="15"/>
  <c r="E15" i="1"/>
  <c r="F29" i="1"/>
  <c r="C27" i="15"/>
  <c r="I10" i="14"/>
  <c r="C17" i="14"/>
  <c r="G17" i="14"/>
  <c r="D38" i="15"/>
  <c r="H37" i="1"/>
  <c r="D23" i="14"/>
  <c r="F31" i="15"/>
  <c r="G13" i="15"/>
  <c r="J13" i="14"/>
  <c r="I22" i="1"/>
  <c r="E24" i="15"/>
  <c r="E21" i="1"/>
  <c r="E19" i="1"/>
  <c r="H25" i="1"/>
  <c r="C37" i="1"/>
  <c r="E9" i="14"/>
  <c r="E4" i="1"/>
  <c r="D39" i="15"/>
  <c r="E20" i="1"/>
  <c r="E4" i="15"/>
  <c r="G39" i="15"/>
  <c r="E10" i="14"/>
  <c r="C5" i="14"/>
  <c r="C10" i="14"/>
  <c r="J13" i="1"/>
  <c r="I4" i="14"/>
  <c r="E30" i="1"/>
  <c r="G36" i="1"/>
  <c r="F4" i="1"/>
  <c r="D10" i="14"/>
  <c r="J28" i="1"/>
  <c r="C12" i="14"/>
  <c r="G11" i="1"/>
  <c r="F39" i="15"/>
  <c r="H12" i="14"/>
  <c r="E19" i="15"/>
  <c r="H23" i="15"/>
  <c r="D24" i="15"/>
  <c r="C21" i="1"/>
  <c r="F21" i="14"/>
  <c r="H38" i="15"/>
  <c r="F22" i="1"/>
  <c r="D41" i="1"/>
  <c r="G5" i="15"/>
  <c r="C16" i="1"/>
  <c r="F37" i="15"/>
  <c r="J5" i="1"/>
  <c r="E14" i="1"/>
  <c r="D28" i="1"/>
  <c r="H14" i="1"/>
  <c r="I26" i="15"/>
  <c r="I11" i="15"/>
  <c r="C28" i="1"/>
  <c r="C4" i="1"/>
  <c r="E34" i="1"/>
  <c r="C18" i="1"/>
  <c r="G14" i="15"/>
  <c r="C13" i="1"/>
  <c r="E5" i="1"/>
  <c r="C18" i="15"/>
  <c r="F13" i="1"/>
  <c r="D31" i="15"/>
  <c r="G21" i="15"/>
  <c r="H5" i="15"/>
  <c r="E38" i="1"/>
  <c r="H19" i="15"/>
  <c r="E15" i="14"/>
  <c r="D26" i="1"/>
  <c r="I9" i="14"/>
  <c r="J18" i="14"/>
  <c r="F26" i="1"/>
  <c r="H15" i="1"/>
  <c r="E17" i="14"/>
  <c r="F35" i="15"/>
  <c r="J37" i="1"/>
  <c r="H21" i="15"/>
  <c r="I23" i="14"/>
  <c r="C21" i="15"/>
  <c r="C39" i="15"/>
  <c r="E34" i="15"/>
  <c r="E33" i="1"/>
  <c r="J5" i="14"/>
  <c r="G5" i="1"/>
  <c r="C10" i="1"/>
  <c r="F34" i="1"/>
  <c r="H17" i="14"/>
  <c r="H34" i="15"/>
  <c r="J19" i="1"/>
  <c r="J7" i="14"/>
  <c r="C20" i="15"/>
  <c r="G19" i="15"/>
  <c r="J22" i="1"/>
  <c r="J15" i="14"/>
  <c r="I5" i="14"/>
  <c r="I15" i="14"/>
  <c r="I12" i="14"/>
  <c r="D5" i="1"/>
  <c r="E23" i="15"/>
  <c r="H5" i="14"/>
  <c r="F32" i="1"/>
  <c r="C24" i="15"/>
  <c r="J18" i="1"/>
  <c r="G25" i="1"/>
  <c r="I5" i="1"/>
  <c r="H34" i="1"/>
  <c r="G14" i="14"/>
  <c r="H22" i="1"/>
  <c r="E40" i="1"/>
  <c r="J16" i="1"/>
  <c r="E29" i="1"/>
  <c r="E10" i="1"/>
  <c r="F17" i="15"/>
  <c r="D32" i="1"/>
  <c r="G22" i="1"/>
  <c r="G7" i="1"/>
  <c r="H40" i="1"/>
  <c r="F24" i="14"/>
  <c r="F5" i="15"/>
  <c r="D8" i="1"/>
  <c r="H8" i="1"/>
  <c r="F20" i="15"/>
  <c r="D14" i="1"/>
  <c r="C7" i="1"/>
  <c r="F17" i="14"/>
  <c r="D19" i="15"/>
  <c r="G9" i="14"/>
  <c r="I20" i="14"/>
  <c r="J38" i="1"/>
  <c r="H24" i="14"/>
  <c r="J12" i="14"/>
  <c r="C23" i="14"/>
  <c r="F4" i="15"/>
  <c r="I14" i="14"/>
  <c r="C33" i="1"/>
  <c r="E16" i="1"/>
  <c r="D20" i="1"/>
  <c r="G34" i="15"/>
  <c r="C15" i="1"/>
  <c r="D4" i="15"/>
  <c r="C37" i="15"/>
  <c r="F20" i="14"/>
  <c r="I33" i="15"/>
  <c r="C14" i="15"/>
  <c r="G27" i="15"/>
  <c r="D25" i="1"/>
  <c r="E23" i="14"/>
  <c r="G14" i="1"/>
  <c r="H9" i="14"/>
  <c r="F13" i="15"/>
  <c r="C35" i="15"/>
  <c r="I13" i="1"/>
  <c r="H39" i="15"/>
  <c r="C16" i="15"/>
  <c r="F24" i="15"/>
  <c r="H19" i="1"/>
  <c r="F21" i="15"/>
  <c r="D4" i="14"/>
  <c r="E18" i="1"/>
  <c r="I12" i="15"/>
  <c r="G23" i="14"/>
  <c r="D40" i="1"/>
  <c r="J4" i="14"/>
  <c r="D33" i="1"/>
  <c r="F27" i="15"/>
  <c r="D17" i="14"/>
  <c r="C13" i="15"/>
  <c r="I15" i="1"/>
  <c r="D30" i="1"/>
  <c r="D22" i="1"/>
  <c r="D17" i="15"/>
  <c r="C25" i="1"/>
  <c r="E16" i="15"/>
  <c r="G15" i="1"/>
  <c r="J10" i="14"/>
  <c r="D21" i="14"/>
  <c r="C19" i="15"/>
  <c r="D13" i="15"/>
  <c r="J30" i="1"/>
  <c r="D34" i="1"/>
  <c r="G37" i="15"/>
  <c r="J29" i="1"/>
  <c r="H27" i="15"/>
  <c r="J41" i="1"/>
  <c r="F38" i="1"/>
  <c r="I36" i="1"/>
  <c r="C34" i="1"/>
  <c r="I40" i="1"/>
  <c r="H24" i="15"/>
  <c r="G16" i="15"/>
  <c r="C36" i="1"/>
  <c r="I9" i="15"/>
  <c r="F14" i="14"/>
  <c r="H36" i="1"/>
  <c r="E5" i="15"/>
  <c r="J23" i="14"/>
  <c r="D14" i="14"/>
  <c r="H18" i="15"/>
  <c r="C40" i="1"/>
  <c r="E18" i="14"/>
  <c r="F16" i="1"/>
  <c r="D35" i="15"/>
  <c r="I26" i="1"/>
  <c r="I14" i="1"/>
  <c r="G24" i="14"/>
  <c r="D5" i="14"/>
  <c r="D18" i="15"/>
  <c r="C8" i="1"/>
  <c r="D13" i="14"/>
  <c r="I38" i="1"/>
  <c r="G23" i="15"/>
  <c r="H33" i="1"/>
  <c r="D28" i="15"/>
  <c r="F41" i="1"/>
  <c r="E39" i="15"/>
  <c r="E7" i="14"/>
  <c r="F25" i="1"/>
  <c r="H5" i="1"/>
  <c r="G28" i="15"/>
  <c r="H41" i="1"/>
  <c r="I24" i="14"/>
  <c r="G15" i="14"/>
  <c r="D10" i="1"/>
  <c r="F7" i="14"/>
  <c r="C23" i="15"/>
  <c r="I10" i="1"/>
  <c r="F10" i="1"/>
  <c r="G17" i="15"/>
  <c r="F40" i="1"/>
  <c r="E14" i="15"/>
  <c r="G41" i="1"/>
  <c r="F30" i="15"/>
  <c r="C17" i="15"/>
  <c r="I7" i="1"/>
  <c r="F15" i="1"/>
  <c r="C24" i="14"/>
  <c r="H35" i="15"/>
  <c r="D5" i="15"/>
  <c r="C13" i="14"/>
  <c r="C14" i="14"/>
  <c r="I10" i="15"/>
  <c r="F6" i="1" l="1"/>
  <c r="E31" i="1"/>
  <c r="J9" i="1"/>
  <c r="I31" i="1"/>
  <c r="E9" i="1"/>
  <c r="D17" i="1"/>
  <c r="E35" i="1"/>
  <c r="C12" i="1"/>
  <c r="C6" i="14"/>
  <c r="D16" i="14"/>
  <c r="F22" i="14"/>
  <c r="G16" i="14"/>
  <c r="I25" i="14"/>
  <c r="D29" i="15"/>
  <c r="C32" i="15"/>
  <c r="E32" i="15"/>
  <c r="G15" i="15"/>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D9" i="1"/>
  <c r="C42" i="1"/>
  <c r="H12" i="1"/>
  <c r="C27" i="1"/>
  <c r="I27" i="1"/>
  <c r="J27" i="1"/>
  <c r="F16" i="14"/>
  <c r="G11" i="14"/>
  <c r="G22" i="14"/>
  <c r="I19" i="14"/>
  <c r="E22" i="15"/>
  <c r="G22" i="15"/>
  <c r="D25" i="15"/>
  <c r="C22" i="15"/>
  <c r="G40" i="15"/>
  <c r="F12" i="1"/>
  <c r="G31" i="1"/>
  <c r="I17" i="1"/>
  <c r="I39" i="1"/>
  <c r="G17" i="1"/>
  <c r="J17" i="1"/>
  <c r="J39" i="1"/>
  <c r="C25" i="14"/>
  <c r="E16" i="14"/>
  <c r="F6" i="14"/>
  <c r="H25" i="14"/>
  <c r="J11" i="14"/>
  <c r="J22" i="14"/>
  <c r="D22" i="15"/>
  <c r="H40" i="15"/>
  <c r="C25" i="15"/>
  <c r="H6" i="15"/>
  <c r="F22" i="15"/>
  <c r="F15" i="15"/>
  <c r="H35" i="1"/>
  <c r="F23" i="1"/>
  <c r="D6" i="14"/>
  <c r="G25" i="14"/>
  <c r="I22" i="14"/>
  <c r="E6" i="15"/>
  <c r="D15" i="15"/>
  <c r="H29" i="15"/>
  <c r="F29" i="15"/>
  <c r="F32" i="15"/>
  <c r="C6" i="15"/>
  <c r="G25" i="15"/>
  <c r="D23" i="1"/>
  <c r="D27" i="1"/>
  <c r="J31" i="1"/>
  <c r="J42" i="1"/>
  <c r="E19" i="14"/>
  <c r="H16" i="14"/>
  <c r="J25" i="14"/>
  <c r="H25" i="15"/>
  <c r="E29" i="15"/>
  <c r="G29" i="15"/>
  <c r="D32" i="15"/>
  <c r="F36" i="15"/>
  <c r="C29" i="15"/>
  <c r="I9" i="1"/>
  <c r="E42" i="1"/>
  <c r="G12" i="1"/>
  <c r="F19" i="14"/>
  <c r="I6" i="1"/>
  <c r="J6" i="1"/>
  <c r="D39" i="1"/>
  <c r="E23" i="1"/>
  <c r="F27" i="1"/>
  <c r="G35" i="1"/>
  <c r="H17" i="1"/>
  <c r="H39" i="1"/>
  <c r="F11" i="14"/>
  <c r="H6" i="14"/>
  <c r="G6" i="15"/>
  <c r="F6" i="15"/>
  <c r="D6" i="15"/>
  <c r="I17" i="15"/>
  <c r="I16" i="15"/>
  <c r="I24" i="15"/>
  <c r="I18" i="15"/>
  <c r="I28" i="15"/>
  <c r="I38" i="15"/>
  <c r="K21" i="14"/>
  <c r="K9" i="14"/>
  <c r="K24" i="1"/>
  <c r="K20" i="14"/>
  <c r="K40" i="1"/>
  <c r="K29" i="1"/>
  <c r="K41" i="1"/>
  <c r="K10" i="14"/>
  <c r="K14" i="1"/>
  <c r="K33" i="1"/>
  <c r="K13" i="14"/>
  <c r="I21" i="15"/>
  <c r="I31" i="15"/>
  <c r="K12" i="14"/>
  <c r="K38" i="1"/>
  <c r="K31" i="1"/>
  <c r="K5" i="14"/>
  <c r="K16" i="14"/>
  <c r="K21" i="1"/>
  <c r="I23" i="15"/>
  <c r="I35" i="15"/>
  <c r="I20" i="15"/>
  <c r="I27" i="15"/>
  <c r="I5" i="15"/>
  <c r="K28" i="1"/>
  <c r="K14" i="14"/>
  <c r="K30" i="1"/>
  <c r="K5" i="1"/>
  <c r="K20" i="1"/>
  <c r="K16" i="1"/>
  <c r="K37" i="1"/>
  <c r="K18" i="1"/>
  <c r="K18" i="14"/>
  <c r="K8" i="1"/>
  <c r="K23" i="14"/>
  <c r="K25" i="1"/>
  <c r="K10" i="1"/>
  <c r="I37" i="15"/>
  <c r="K4" i="1"/>
  <c r="K6" i="1"/>
  <c r="K26" i="1"/>
  <c r="I15" i="15"/>
  <c r="I19" i="15"/>
  <c r="I14" i="15"/>
  <c r="I39" i="15"/>
  <c r="I30" i="15"/>
  <c r="I4" i="15"/>
  <c r="K34" i="1"/>
  <c r="K22" i="1"/>
  <c r="K7" i="14"/>
  <c r="K19" i="1"/>
  <c r="K32" i="1"/>
  <c r="K8" i="14"/>
  <c r="K11" i="1"/>
  <c r="K7" i="1"/>
  <c r="K15" i="1"/>
  <c r="K4" i="14"/>
  <c r="K15" i="14"/>
  <c r="K36" i="1"/>
  <c r="I13" i="15"/>
  <c r="I34" i="15"/>
  <c r="I6" i="15"/>
  <c r="K17" i="14"/>
  <c r="K13" i="1"/>
  <c r="K24" i="14"/>
  <c r="I36" i="15"/>
  <c r="K23" i="1"/>
  <c r="K42" i="1"/>
  <c r="I25" i="15"/>
  <c r="K35" i="1"/>
  <c r="K27" i="1"/>
  <c r="K25" i="14"/>
  <c r="I40" i="15"/>
  <c r="I29" i="15"/>
  <c r="K22" i="14"/>
  <c r="K17" i="1"/>
  <c r="K11" i="14"/>
  <c r="K6" i="14"/>
  <c r="I32" i="15"/>
  <c r="K19" i="14"/>
  <c r="K9" i="1"/>
  <c r="K39" i="1"/>
  <c r="K12" i="1"/>
  <c r="I22" i="15"/>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<sst xmlns="http://schemas.openxmlformats.org/spreadsheetml/2006/main" count="443" uniqueCount="156">
  <si>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</si>
  <si>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</si>
  <si>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</si>
  <si>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</si>
  <si>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</si>
  <si>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</si>
  <si>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</si>
  <si>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</si>
  <si>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</si>
  <si>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</si>
  <si>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</si>
  <si>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</si>
  <si>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</si>
  <si>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</si>
  <si>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</si>
  <si>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</si>
  <si>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</si>
  <si>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</si>
  <si>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</si>
  <si>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</si>
  <si>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</si>
  <si>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</si>
  <si>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</si>
  <si>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</si>
  <si>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</si>
  <si>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</si>
  <si>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</si>
  <si>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</si>
  <si>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</si>
  <si>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</si>
  <si>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</si>
  <si>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</si>
  <si>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</si>
  <si>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</si>
  <si>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</si>
  <si>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</si>
  <si>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</si>
  <si>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</si>
  <si>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</si>
  <si>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</si>
  <si>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</si>
  <si>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</si>
  <si>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</si>
  <si>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</si>
  <si>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</si>
  <si>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</si>
  <si>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</si>
  <si>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</si>
  <si>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</si>
  <si>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</si>
  <si>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</si>
  <si>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</si>
  <si>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</si>
  <si>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</si>
  <si>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</si>
  <si>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</si>
  <si>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</si>
  <si>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</si>
  <si>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</si>
  <si>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</si>
  <si>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</si>
  <si>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</si>
  <si>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</si>
  <si>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</si>
  <si>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</si>
  <si>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</si>
  <si>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</si>
  <si>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</si>
  <si>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</si>
  <si>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</si>
  <si>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</si>
  <si>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</si>
  <si>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</si>
  <si>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</si>
  <si>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</si>
  <si>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</si>
  <si>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</si>
  <si>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</si>
  <si>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</si>
  <si>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</si>
  <si>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</si>
  <si>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</si>
  <si>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</si>
  <si>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</si>
  <si>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</si>
  <si>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</si>
  <si>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</si>
  <si>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</si>
  <si>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</si>
  <si>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</si>
  <si>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</si>
  <si>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</si>
  <si>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</si>
  <si>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</si>
  <si>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</si>
  <si>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</si>
  <si>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</si>
  <si>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</si>
  <si>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</si>
  <si>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</si>
  <si>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annee_mois</t>
  </si>
  <si>
    <t>(Tous)</t>
  </si>
  <si>
    <t>Moyenne de valeur</t>
  </si>
  <si>
    <t>OC</t>
  </si>
  <si>
    <t>maille</t>
  </si>
  <si>
    <t>type_valeur</t>
  </si>
  <si>
    <t>(vide)</t>
  </si>
  <si>
    <t>SFRA</t>
  </si>
  <si>
    <t>indicateur</t>
  </si>
  <si>
    <t>codeIndicateur</t>
  </si>
  <si>
    <t>unite</t>
  </si>
  <si>
    <t>Valeurs Nettes</t>
  </si>
  <si>
    <t>Taux de signalisations sur les parcs livrés depuis moins d'un mois – responsabilité opérateur d'immeuble</t>
  </si>
  <si>
    <t>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</si>
  <si>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</si>
  <si>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</si>
  <si>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</si>
  <si>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</si>
  <si>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</si>
  <si>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</si>
  <si>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</si>
  <si>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</si>
  <si>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</si>
  <si>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</si>
  <si>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</si>
  <si>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</si>
  <si>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</si>
  <si>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</si>
  <si>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</si>
  <si>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</si>
  <si>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t>
  </si>
  <si>
    <t>FTEL</t>
  </si>
  <si>
    <t>Taux d indisponibilité de l assistance téléphonique</t>
  </si>
  <si>
    <t>xxxiii</t>
  </si>
  <si>
    <t>Valeur nationale, tous OI (FTEL et RIPS Orange) et OC confondus</t>
  </si>
  <si>
    <t>Délai de rétablissement sur le segment PM-PBO – 95e centile</t>
  </si>
  <si>
    <t>xiv</t>
  </si>
  <si>
    <t>Délai de livraison d’un lien PRDM-PM (première commande) – 95e centile*</t>
  </si>
  <si>
    <t>vii</t>
  </si>
  <si>
    <t>Taux de non-respect du délai contractuel de livraison des liens PRDM-PM</t>
  </si>
  <si>
    <t>x</t>
  </si>
  <si>
    <t>Délai de livraison d’un lien PRDM-PM (commandes suivantes) – 95e centile*</t>
  </si>
  <si>
    <t>viii</t>
  </si>
  <si>
    <t>Taux de non-respect du délai de rétablissement sur le segment PM-PBO</t>
  </si>
  <si>
    <t>xiii</t>
  </si>
  <si>
    <t>Taux de réitération des interruptions de services sur le segment PM-PBO</t>
  </si>
  <si>
    <t>xviii</t>
  </si>
  <si>
    <t>Taux de signalisations sur parc (NRO-DTIO) sur une période d'un mois</t>
  </si>
  <si>
    <t>xvii</t>
  </si>
  <si>
    <t>xxxvi</t>
  </si>
  <si>
    <t>xxvi</t>
  </si>
  <si>
    <t>xxvii</t>
  </si>
  <si>
    <t>Valeurs Brutes</t>
  </si>
  <si>
    <t>xxxviii</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</si>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</sst>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43"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43"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22">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2</xdr:col>
      <xdr:colOff>485775</xdr:colOff>
      <xdr:row>0</xdr:row>
      <xdr:rowOff>38100</xdr:rowOff>
    </xdr:from>
    <xdr:to>
      <xdr:col>3</xdr:col>
      <xdr:colOff>1447800</xdr:colOff>
      <xdr:row>4</xdr:row>
      <xdr:rowOff>85725</xdr:rowOff>
    </xdr:to>
    <mc:AlternateContent xmlns:mc="http://schemas.openxmlformats.org/markup-compatibility/2006" xmlns:a14="http://schemas.microsoft.com/office/drawing/2010/main">
      <mc:Choice Requires="a14">
        <xdr:graphicFrame macro="">
          <xdr:nvGraphicFramePr>
            <xdr:cNvPr id="2" name="annee_mois"/>
            <xdr:cNvGraphicFramePr/>
          </xdr:nvGraphicFramePr>
          <xdr:xfrm>
            <a:off x="0" y="0"/>
            <a:ext cx="0" cy="0"/>
          </xdr:xfrm>
          <a:graphic>
            <a:graphicData uri="http://schemas.microsoft.com/office/drawing/2010/slicer">
              <sle:slicer xmlns:sle="http://schemas.microsoft.com/office/drawing/2010/slicer" name="annee_mois"/>
            </a:graphicData>
          </a:graphic>
        </xdr:graphicFrame>
      </mc:Choice>
      <mc:Fallback xmlns="">
        <xdr:sp macro="" textlink="">
          <xdr:nvSpPr>
            <xdr:cNvPr id="0" name=""/>
            <xdr:cNvSpPr>
              <a:spLocks noTextEdit="1"/>
            </xdr:cNvSpPr>
          </xdr:nvSpPr>
          <xdr:spPr>
            <a:xfrm>
              <a:off x="8956675" y="38100"/>
              <a:ext cx="1952625" cy="7842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438.730180555554" createdVersion="5" refreshedVersion="4" minRefreshableVersion="3" recordCount="140">
  <cacheSource type="external" connectionId="1"/>
  <cacheFields count="10">
    <cacheField name="annee_mois" numFmtId="0" sqlType="12">
      <sharedItems count="3">
        <s v="2021-07"/>
        <s v="2021-04" u="1"/>
        <s v="2021-05" u="1"/>
      </sharedItems>
    </cacheField>
    <cacheField name="codeIndicateur" numFmtId="0" sqlType="12">
      <sharedItems count="33">
        <s v="i"/>
        <s v="xxvi"/>
        <s v="xxxvi"/>
        <s v="xxvii"/>
        <s v="xiii"/>
        <s v="xviii"/>
        <s v="xvii"/>
        <s v="xxiii"/>
        <s v="xxiv"/>
        <s v="xxxiii"/>
        <s v="xx"/>
        <s v="vii"/>
        <s v="xxxviii"/>
        <s v="xiv"/>
        <s v="xxix"/>
        <s v="viii"/>
        <s v="x"/>
        <s v="iii"/>
        <s v="iv"/>
        <s v="v"/>
        <s v="xxviii"/>
        <s v="xxx"/>
        <s v="xxxi"/>
        <s v="xxxii"/>
        <s v="xv" u="1"/>
        <s v="xvi" u="1"/>
        <s v="xxi" u="1"/>
        <s v="xi" u="1"/>
        <s v="xii" u="1"/>
        <s v="xxv" u="1"/>
        <s v="xix" u="1"/>
        <s v="ii" u="1"/>
        <s v="xxii" u="1"/>
      </sharedItems>
    </cacheField>
    <cacheField name="indicateur" numFmtId="0" sqlType="12">
      <sharedItems count="33">
        <s v="Taux de signalisations sur les parcs livrés depuis moins d'un mois – responsabilité opérateur d'immeuble"/>
        <s v="Taux de respect de l'interruption maximum de services des accès GTR 4HO/HNO"/>
        <s v="Taux de signalisation effectuée à tort par un opérateur commercial"/>
        <s v="Taux moyen d'indisponibilité du parc des accès GTR 4HO/HNO"/>
        <s v="Taux de non-respect du délai de rétablissement sur le segment PM-PBO"/>
        <s v="Taux de réitération des interruptions de services sur le segment PM-PBO"/>
        <s v="Taux de signalisations sur parc (NRO-DTIO) sur une période d'un mois"/>
        <s v="Taux de non respect de la date de livraison de l'accès avec GTR 4HO/HNO – mode OI"/>
        <s v="Délai moyen de livraison de l'accès avec GTR 4HO/HNO – mode OI"/>
        <s v="Taux d indisponibilité de l assistance téléphonique"/>
        <s v="Interruption maximum de services (annuelle)"/>
        <s v="Délai de livraison d’un lien PRDM-PM (première commande) – 95e centile*"/>
        <s v="Taux de réitération des interruptions de services sur le segment PRDM-PM"/>
        <s v="Délai de rétablissement sur le segment PM-PBO – 95e centile"/>
        <s v="Taux d échec d accès à la boucle locale optique mutualisée - cause OI"/>
        <s v="Délai de livraison d’un lien PRDM-PM (commandes suivantes) – 95e centile*"/>
        <s v="Taux de non-respect du délai contractuel de livraison des liens PRDM-PM"/>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Taux de malfaçons du raccordement final (malfaçons constatées sur le raccordement final lorsqu il est effectué)"/>
        <s v="Délai d envoi du compte-rendu de sous-traitance par l OC"/>
        <s v="Délai d envoi du compte-rendu de mise en service commerciale de la ligne par l OC"/>
        <s v="Taux de commande qui font l objet d un réapprovisionnement à chaud - Origine OI et OC"/>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haredItems>
    </cacheField>
    <cacheField name="zone" numFmtId="0" sqlType="12">
      <sharedItems containsBlank="1" count="3">
        <s v="National"/>
        <m/>
        <s v="ZMD"/>
      </sharedItems>
    </cacheField>
    <cacheField name="OI" numFmtId="0" sqlType="1">
      <sharedItems count="1">
        <s v="ARTD"/>
      </sharedItems>
    </cacheField>
    <cacheField name="OC" numFmtId="0" sqlType="1">
      <sharedItems containsBlank="1" count="6">
        <m/>
        <s v="FTEL"/>
        <s v="SFRA"/>
        <s v="FREE" u="1"/>
        <s v="AUTR" u="1"/>
        <s v="BOUY" u="1"/>
      </sharedItems>
    </cacheField>
    <cacheField name="unite" numFmtId="0" sqlType="12">
      <sharedItems count="7">
        <s v="Dénominateur"/>
        <s v="Numérateur"/>
        <s v="Délai moyen"/>
        <s v="%"/>
        <s v="95e centile"/>
        <s v="80e centile"/>
        <s v="50e centile"/>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Nettes"/>
        <s v="Valeurs Brutes"/>
      </sharedItems>
    </cacheField>
    <cacheField name="valeur" numFmtId="0" sqlType="2">
      <sharedItems containsString="0" containsBlank="1" containsNumber="1" minValue="0" maxValue="121685"/>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40">
  <r>
    <x v="0"/>
    <x v="0"/>
    <x v="0"/>
    <x v="0"/>
    <x v="0"/>
    <x v="0"/>
    <x v="0"/>
    <x v="0"/>
    <x v="0"/>
    <n v="723"/>
  </r>
  <r>
    <x v="0"/>
    <x v="0"/>
    <x v="0"/>
    <x v="0"/>
    <x v="0"/>
    <x v="0"/>
    <x v="0"/>
    <x v="0"/>
    <x v="1"/>
    <n v="723"/>
  </r>
  <r>
    <x v="0"/>
    <x v="1"/>
    <x v="1"/>
    <x v="0"/>
    <x v="0"/>
    <x v="0"/>
    <x v="1"/>
    <x v="1"/>
    <x v="1"/>
    <n v="2"/>
  </r>
  <r>
    <x v="0"/>
    <x v="1"/>
    <x v="1"/>
    <x v="0"/>
    <x v="0"/>
    <x v="0"/>
    <x v="0"/>
    <x v="1"/>
    <x v="0"/>
    <n v="2"/>
  </r>
  <r>
    <x v="0"/>
    <x v="2"/>
    <x v="2"/>
    <x v="0"/>
    <x v="0"/>
    <x v="0"/>
    <x v="0"/>
    <x v="0"/>
    <x v="1"/>
    <n v="5"/>
  </r>
  <r>
    <x v="0"/>
    <x v="3"/>
    <x v="3"/>
    <x v="0"/>
    <x v="0"/>
    <x v="0"/>
    <x v="0"/>
    <x v="1"/>
    <x v="1"/>
    <n v="8760"/>
  </r>
  <r>
    <x v="0"/>
    <x v="4"/>
    <x v="4"/>
    <x v="0"/>
    <x v="0"/>
    <x v="0"/>
    <x v="0"/>
    <x v="1"/>
    <x v="1"/>
    <n v="4"/>
  </r>
  <r>
    <x v="0"/>
    <x v="4"/>
    <x v="4"/>
    <x v="0"/>
    <x v="0"/>
    <x v="0"/>
    <x v="0"/>
    <x v="1"/>
    <x v="0"/>
    <n v="4"/>
  </r>
  <r>
    <x v="0"/>
    <x v="2"/>
    <x v="2"/>
    <x v="0"/>
    <x v="0"/>
    <x v="0"/>
    <x v="1"/>
    <x v="1"/>
    <x v="0"/>
    <n v="1"/>
  </r>
  <r>
    <x v="0"/>
    <x v="3"/>
    <x v="3"/>
    <x v="0"/>
    <x v="0"/>
    <x v="0"/>
    <x v="1"/>
    <x v="1"/>
    <x v="0"/>
    <n v="0"/>
  </r>
  <r>
    <x v="0"/>
    <x v="5"/>
    <x v="5"/>
    <x v="0"/>
    <x v="0"/>
    <x v="0"/>
    <x v="0"/>
    <x v="0"/>
    <x v="1"/>
    <n v="7"/>
  </r>
  <r>
    <x v="0"/>
    <x v="5"/>
    <x v="5"/>
    <x v="0"/>
    <x v="0"/>
    <x v="0"/>
    <x v="0"/>
    <x v="0"/>
    <x v="0"/>
    <n v="7"/>
  </r>
  <r>
    <x v="0"/>
    <x v="1"/>
    <x v="1"/>
    <x v="0"/>
    <x v="0"/>
    <x v="0"/>
    <x v="0"/>
    <x v="0"/>
    <x v="0"/>
    <n v="2"/>
  </r>
  <r>
    <x v="0"/>
    <x v="1"/>
    <x v="1"/>
    <x v="0"/>
    <x v="0"/>
    <x v="0"/>
    <x v="0"/>
    <x v="0"/>
    <x v="1"/>
    <n v="2"/>
  </r>
  <r>
    <x v="0"/>
    <x v="6"/>
    <x v="6"/>
    <x v="0"/>
    <x v="0"/>
    <x v="0"/>
    <x v="1"/>
    <x v="1"/>
    <x v="0"/>
    <n v="5"/>
  </r>
  <r>
    <x v="0"/>
    <x v="6"/>
    <x v="6"/>
    <x v="0"/>
    <x v="0"/>
    <x v="0"/>
    <x v="0"/>
    <x v="0"/>
    <x v="0"/>
    <n v="9698"/>
  </r>
  <r>
    <x v="0"/>
    <x v="6"/>
    <x v="6"/>
    <x v="0"/>
    <x v="0"/>
    <x v="0"/>
    <x v="0"/>
    <x v="0"/>
    <x v="1"/>
    <n v="9698"/>
  </r>
  <r>
    <x v="0"/>
    <x v="0"/>
    <x v="0"/>
    <x v="0"/>
    <x v="0"/>
    <x v="0"/>
    <x v="1"/>
    <x v="1"/>
    <x v="1"/>
    <n v="1"/>
  </r>
  <r>
    <x v="0"/>
    <x v="5"/>
    <x v="5"/>
    <x v="0"/>
    <x v="0"/>
    <x v="0"/>
    <x v="0"/>
    <x v="1"/>
    <x v="1"/>
    <n v="7"/>
  </r>
  <r>
    <x v="0"/>
    <x v="5"/>
    <x v="5"/>
    <x v="0"/>
    <x v="0"/>
    <x v="0"/>
    <x v="0"/>
    <x v="1"/>
    <x v="0"/>
    <n v="7"/>
  </r>
  <r>
    <x v="0"/>
    <x v="0"/>
    <x v="0"/>
    <x v="0"/>
    <x v="0"/>
    <x v="0"/>
    <x v="0"/>
    <x v="1"/>
    <x v="1"/>
    <n v="752"/>
  </r>
  <r>
    <x v="0"/>
    <x v="7"/>
    <x v="7"/>
    <x v="0"/>
    <x v="0"/>
    <x v="0"/>
    <x v="0"/>
    <x v="1"/>
    <x v="0"/>
    <n v="1"/>
  </r>
  <r>
    <x v="0"/>
    <x v="7"/>
    <x v="7"/>
    <x v="0"/>
    <x v="0"/>
    <x v="0"/>
    <x v="1"/>
    <x v="1"/>
    <x v="0"/>
    <n v="1"/>
  </r>
  <r>
    <x v="0"/>
    <x v="8"/>
    <x v="8"/>
    <x v="0"/>
    <x v="0"/>
    <x v="0"/>
    <x v="2"/>
    <x v="1"/>
    <x v="0"/>
    <n v="125"/>
  </r>
  <r>
    <x v="0"/>
    <x v="4"/>
    <x v="4"/>
    <x v="0"/>
    <x v="0"/>
    <x v="0"/>
    <x v="0"/>
    <x v="0"/>
    <x v="1"/>
    <n v="4"/>
  </r>
  <r>
    <x v="0"/>
    <x v="4"/>
    <x v="4"/>
    <x v="0"/>
    <x v="0"/>
    <x v="0"/>
    <x v="0"/>
    <x v="0"/>
    <x v="0"/>
    <n v="4"/>
  </r>
  <r>
    <x v="0"/>
    <x v="9"/>
    <x v="9"/>
    <x v="1"/>
    <x v="0"/>
    <x v="0"/>
    <x v="1"/>
    <x v="1"/>
    <x v="1"/>
    <n v="15322"/>
  </r>
  <r>
    <x v="0"/>
    <x v="9"/>
    <x v="9"/>
    <x v="0"/>
    <x v="0"/>
    <x v="0"/>
    <x v="1"/>
    <x v="1"/>
    <x v="1"/>
    <n v="15322"/>
  </r>
  <r>
    <x v="0"/>
    <x v="10"/>
    <x v="10"/>
    <x v="0"/>
    <x v="0"/>
    <x v="0"/>
    <x v="3"/>
    <x v="1"/>
    <x v="0"/>
    <n v="0.79398999999999997"/>
  </r>
  <r>
    <x v="0"/>
    <x v="10"/>
    <x v="10"/>
    <x v="0"/>
    <x v="0"/>
    <x v="0"/>
    <x v="3"/>
    <x v="0"/>
    <x v="0"/>
    <n v="0.79391999999999996"/>
  </r>
  <r>
    <x v="0"/>
    <x v="10"/>
    <x v="10"/>
    <x v="0"/>
    <x v="0"/>
    <x v="0"/>
    <x v="3"/>
    <x v="0"/>
    <x v="1"/>
    <n v="0.79391999999999996"/>
  </r>
  <r>
    <x v="0"/>
    <x v="10"/>
    <x v="10"/>
    <x v="2"/>
    <x v="0"/>
    <x v="0"/>
    <x v="3"/>
    <x v="1"/>
    <x v="1"/>
    <n v="0.72843999999999998"/>
  </r>
  <r>
    <x v="0"/>
    <x v="10"/>
    <x v="10"/>
    <x v="2"/>
    <x v="0"/>
    <x v="0"/>
    <x v="3"/>
    <x v="1"/>
    <x v="0"/>
    <n v="0.72843999999999998"/>
  </r>
  <r>
    <x v="0"/>
    <x v="11"/>
    <x v="11"/>
    <x v="0"/>
    <x v="0"/>
    <x v="0"/>
    <x v="4"/>
    <x v="0"/>
    <x v="1"/>
    <m/>
  </r>
  <r>
    <x v="0"/>
    <x v="6"/>
    <x v="6"/>
    <x v="0"/>
    <x v="0"/>
    <x v="0"/>
    <x v="1"/>
    <x v="0"/>
    <x v="0"/>
    <n v="5"/>
  </r>
  <r>
    <x v="0"/>
    <x v="6"/>
    <x v="6"/>
    <x v="0"/>
    <x v="0"/>
    <x v="0"/>
    <x v="1"/>
    <x v="0"/>
    <x v="1"/>
    <n v="5"/>
  </r>
  <r>
    <x v="0"/>
    <x v="4"/>
    <x v="4"/>
    <x v="0"/>
    <x v="0"/>
    <x v="0"/>
    <x v="1"/>
    <x v="1"/>
    <x v="1"/>
    <n v="0"/>
  </r>
  <r>
    <x v="0"/>
    <x v="4"/>
    <x v="4"/>
    <x v="0"/>
    <x v="0"/>
    <x v="0"/>
    <x v="1"/>
    <x v="1"/>
    <x v="0"/>
    <n v="0"/>
  </r>
  <r>
    <x v="0"/>
    <x v="0"/>
    <x v="0"/>
    <x v="0"/>
    <x v="0"/>
    <x v="0"/>
    <x v="1"/>
    <x v="1"/>
    <x v="0"/>
    <n v="1"/>
  </r>
  <r>
    <x v="0"/>
    <x v="1"/>
    <x v="1"/>
    <x v="0"/>
    <x v="0"/>
    <x v="0"/>
    <x v="0"/>
    <x v="1"/>
    <x v="1"/>
    <n v="2"/>
  </r>
  <r>
    <x v="0"/>
    <x v="0"/>
    <x v="0"/>
    <x v="0"/>
    <x v="0"/>
    <x v="0"/>
    <x v="0"/>
    <x v="1"/>
    <x v="0"/>
    <n v="752"/>
  </r>
  <r>
    <x v="0"/>
    <x v="0"/>
    <x v="0"/>
    <x v="0"/>
    <x v="0"/>
    <x v="0"/>
    <x v="1"/>
    <x v="0"/>
    <x v="0"/>
    <n v="1"/>
  </r>
  <r>
    <x v="0"/>
    <x v="0"/>
    <x v="0"/>
    <x v="0"/>
    <x v="0"/>
    <x v="0"/>
    <x v="1"/>
    <x v="0"/>
    <x v="1"/>
    <n v="1"/>
  </r>
  <r>
    <x v="0"/>
    <x v="6"/>
    <x v="6"/>
    <x v="0"/>
    <x v="0"/>
    <x v="0"/>
    <x v="0"/>
    <x v="1"/>
    <x v="1"/>
    <n v="9841"/>
  </r>
  <r>
    <x v="0"/>
    <x v="1"/>
    <x v="1"/>
    <x v="0"/>
    <x v="0"/>
    <x v="0"/>
    <x v="1"/>
    <x v="1"/>
    <x v="0"/>
    <n v="2"/>
  </r>
  <r>
    <x v="0"/>
    <x v="2"/>
    <x v="2"/>
    <x v="0"/>
    <x v="0"/>
    <x v="0"/>
    <x v="0"/>
    <x v="0"/>
    <x v="0"/>
    <n v="5"/>
  </r>
  <r>
    <x v="0"/>
    <x v="5"/>
    <x v="5"/>
    <x v="0"/>
    <x v="0"/>
    <x v="0"/>
    <x v="1"/>
    <x v="1"/>
    <x v="1"/>
    <n v="0"/>
  </r>
  <r>
    <x v="0"/>
    <x v="5"/>
    <x v="5"/>
    <x v="0"/>
    <x v="0"/>
    <x v="0"/>
    <x v="1"/>
    <x v="1"/>
    <x v="0"/>
    <n v="0"/>
  </r>
  <r>
    <x v="0"/>
    <x v="2"/>
    <x v="2"/>
    <x v="0"/>
    <x v="0"/>
    <x v="0"/>
    <x v="1"/>
    <x v="0"/>
    <x v="0"/>
    <n v="1"/>
  </r>
  <r>
    <x v="0"/>
    <x v="12"/>
    <x v="12"/>
    <x v="0"/>
    <x v="0"/>
    <x v="0"/>
    <x v="1"/>
    <x v="1"/>
    <x v="1"/>
    <n v="0"/>
  </r>
  <r>
    <x v="0"/>
    <x v="12"/>
    <x v="12"/>
    <x v="0"/>
    <x v="0"/>
    <x v="0"/>
    <x v="1"/>
    <x v="1"/>
    <x v="0"/>
    <n v="0"/>
  </r>
  <r>
    <x v="0"/>
    <x v="2"/>
    <x v="2"/>
    <x v="0"/>
    <x v="0"/>
    <x v="0"/>
    <x v="1"/>
    <x v="0"/>
    <x v="1"/>
    <n v="1"/>
  </r>
  <r>
    <x v="0"/>
    <x v="10"/>
    <x v="10"/>
    <x v="0"/>
    <x v="0"/>
    <x v="0"/>
    <x v="3"/>
    <x v="1"/>
    <x v="1"/>
    <n v="0.79398999999999997"/>
  </r>
  <r>
    <x v="0"/>
    <x v="6"/>
    <x v="6"/>
    <x v="0"/>
    <x v="0"/>
    <x v="0"/>
    <x v="0"/>
    <x v="1"/>
    <x v="0"/>
    <n v="9841"/>
  </r>
  <r>
    <x v="0"/>
    <x v="13"/>
    <x v="13"/>
    <x v="0"/>
    <x v="0"/>
    <x v="0"/>
    <x v="4"/>
    <x v="1"/>
    <x v="0"/>
    <n v="8.82"/>
  </r>
  <r>
    <x v="0"/>
    <x v="13"/>
    <x v="13"/>
    <x v="0"/>
    <x v="0"/>
    <x v="0"/>
    <x v="4"/>
    <x v="1"/>
    <x v="1"/>
    <n v="8.82"/>
  </r>
  <r>
    <x v="0"/>
    <x v="13"/>
    <x v="13"/>
    <x v="0"/>
    <x v="0"/>
    <x v="0"/>
    <x v="4"/>
    <x v="0"/>
    <x v="0"/>
    <n v="8.82"/>
  </r>
  <r>
    <x v="0"/>
    <x v="13"/>
    <x v="13"/>
    <x v="0"/>
    <x v="0"/>
    <x v="0"/>
    <x v="4"/>
    <x v="0"/>
    <x v="1"/>
    <n v="8.82"/>
  </r>
  <r>
    <x v="0"/>
    <x v="6"/>
    <x v="6"/>
    <x v="0"/>
    <x v="0"/>
    <x v="0"/>
    <x v="1"/>
    <x v="1"/>
    <x v="1"/>
    <n v="5"/>
  </r>
  <r>
    <x v="0"/>
    <x v="9"/>
    <x v="9"/>
    <x v="2"/>
    <x v="0"/>
    <x v="0"/>
    <x v="1"/>
    <x v="1"/>
    <x v="1"/>
    <n v="15322"/>
  </r>
  <r>
    <x v="0"/>
    <x v="12"/>
    <x v="12"/>
    <x v="0"/>
    <x v="0"/>
    <x v="0"/>
    <x v="0"/>
    <x v="1"/>
    <x v="1"/>
    <n v="1"/>
  </r>
  <r>
    <x v="0"/>
    <x v="12"/>
    <x v="12"/>
    <x v="0"/>
    <x v="0"/>
    <x v="0"/>
    <x v="0"/>
    <x v="1"/>
    <x v="0"/>
    <n v="1"/>
  </r>
  <r>
    <x v="0"/>
    <x v="2"/>
    <x v="2"/>
    <x v="0"/>
    <x v="0"/>
    <x v="0"/>
    <x v="1"/>
    <x v="1"/>
    <x v="1"/>
    <n v="1"/>
  </r>
  <r>
    <x v="0"/>
    <x v="2"/>
    <x v="2"/>
    <x v="0"/>
    <x v="0"/>
    <x v="1"/>
    <x v="1"/>
    <x v="1"/>
    <x v="1"/>
    <n v="1"/>
  </r>
  <r>
    <x v="0"/>
    <x v="2"/>
    <x v="2"/>
    <x v="0"/>
    <x v="0"/>
    <x v="1"/>
    <x v="1"/>
    <x v="1"/>
    <x v="0"/>
    <n v="1"/>
  </r>
  <r>
    <x v="0"/>
    <x v="3"/>
    <x v="3"/>
    <x v="0"/>
    <x v="0"/>
    <x v="0"/>
    <x v="1"/>
    <x v="1"/>
    <x v="1"/>
    <n v="0"/>
  </r>
  <r>
    <x v="0"/>
    <x v="5"/>
    <x v="5"/>
    <x v="0"/>
    <x v="0"/>
    <x v="0"/>
    <x v="1"/>
    <x v="0"/>
    <x v="1"/>
    <n v="0"/>
  </r>
  <r>
    <x v="0"/>
    <x v="4"/>
    <x v="4"/>
    <x v="0"/>
    <x v="0"/>
    <x v="0"/>
    <x v="1"/>
    <x v="0"/>
    <x v="1"/>
    <n v="0"/>
  </r>
  <r>
    <x v="0"/>
    <x v="4"/>
    <x v="4"/>
    <x v="0"/>
    <x v="0"/>
    <x v="0"/>
    <x v="1"/>
    <x v="0"/>
    <x v="0"/>
    <n v="0"/>
  </r>
  <r>
    <x v="0"/>
    <x v="5"/>
    <x v="5"/>
    <x v="0"/>
    <x v="0"/>
    <x v="0"/>
    <x v="1"/>
    <x v="0"/>
    <x v="0"/>
    <n v="0"/>
  </r>
  <r>
    <x v="0"/>
    <x v="3"/>
    <x v="3"/>
    <x v="0"/>
    <x v="0"/>
    <x v="0"/>
    <x v="0"/>
    <x v="0"/>
    <x v="0"/>
    <n v="8760"/>
  </r>
  <r>
    <x v="0"/>
    <x v="3"/>
    <x v="3"/>
    <x v="0"/>
    <x v="0"/>
    <x v="0"/>
    <x v="0"/>
    <x v="0"/>
    <x v="1"/>
    <n v="8760"/>
  </r>
  <r>
    <x v="0"/>
    <x v="2"/>
    <x v="2"/>
    <x v="0"/>
    <x v="0"/>
    <x v="0"/>
    <x v="0"/>
    <x v="1"/>
    <x v="1"/>
    <n v="5"/>
  </r>
  <r>
    <x v="0"/>
    <x v="9"/>
    <x v="9"/>
    <x v="2"/>
    <x v="0"/>
    <x v="0"/>
    <x v="0"/>
    <x v="1"/>
    <x v="1"/>
    <n v="121685"/>
  </r>
  <r>
    <x v="0"/>
    <x v="9"/>
    <x v="9"/>
    <x v="1"/>
    <x v="0"/>
    <x v="0"/>
    <x v="0"/>
    <x v="1"/>
    <x v="1"/>
    <n v="121685"/>
  </r>
  <r>
    <x v="0"/>
    <x v="9"/>
    <x v="9"/>
    <x v="0"/>
    <x v="0"/>
    <x v="0"/>
    <x v="0"/>
    <x v="1"/>
    <x v="1"/>
    <n v="121685"/>
  </r>
  <r>
    <x v="0"/>
    <x v="11"/>
    <x v="11"/>
    <x v="0"/>
    <x v="0"/>
    <x v="0"/>
    <x v="4"/>
    <x v="0"/>
    <x v="0"/>
    <m/>
  </r>
  <r>
    <x v="0"/>
    <x v="2"/>
    <x v="2"/>
    <x v="0"/>
    <x v="0"/>
    <x v="1"/>
    <x v="0"/>
    <x v="1"/>
    <x v="1"/>
    <n v="5"/>
  </r>
  <r>
    <x v="0"/>
    <x v="1"/>
    <x v="1"/>
    <x v="0"/>
    <x v="0"/>
    <x v="0"/>
    <x v="1"/>
    <x v="0"/>
    <x v="0"/>
    <n v="2"/>
  </r>
  <r>
    <x v="0"/>
    <x v="1"/>
    <x v="1"/>
    <x v="0"/>
    <x v="0"/>
    <x v="0"/>
    <x v="1"/>
    <x v="0"/>
    <x v="1"/>
    <n v="2"/>
  </r>
  <r>
    <x v="0"/>
    <x v="3"/>
    <x v="3"/>
    <x v="0"/>
    <x v="0"/>
    <x v="0"/>
    <x v="0"/>
    <x v="1"/>
    <x v="0"/>
    <n v="8760"/>
  </r>
  <r>
    <x v="0"/>
    <x v="2"/>
    <x v="2"/>
    <x v="0"/>
    <x v="0"/>
    <x v="1"/>
    <x v="0"/>
    <x v="1"/>
    <x v="0"/>
    <n v="5"/>
  </r>
  <r>
    <x v="0"/>
    <x v="2"/>
    <x v="2"/>
    <x v="0"/>
    <x v="0"/>
    <x v="0"/>
    <x v="0"/>
    <x v="1"/>
    <x v="0"/>
    <n v="5"/>
  </r>
  <r>
    <x v="0"/>
    <x v="14"/>
    <x v="14"/>
    <x v="1"/>
    <x v="0"/>
    <x v="1"/>
    <x v="0"/>
    <x v="1"/>
    <x v="1"/>
    <n v="639"/>
  </r>
  <r>
    <x v="0"/>
    <x v="14"/>
    <x v="14"/>
    <x v="1"/>
    <x v="0"/>
    <x v="2"/>
    <x v="0"/>
    <x v="1"/>
    <x v="1"/>
    <n v="25"/>
  </r>
  <r>
    <x v="0"/>
    <x v="9"/>
    <x v="9"/>
    <x v="2"/>
    <x v="0"/>
    <x v="0"/>
    <x v="1"/>
    <x v="0"/>
    <x v="1"/>
    <n v="15322"/>
  </r>
  <r>
    <x v="0"/>
    <x v="9"/>
    <x v="9"/>
    <x v="1"/>
    <x v="0"/>
    <x v="0"/>
    <x v="1"/>
    <x v="0"/>
    <x v="1"/>
    <n v="15322"/>
  </r>
  <r>
    <x v="0"/>
    <x v="9"/>
    <x v="9"/>
    <x v="0"/>
    <x v="0"/>
    <x v="0"/>
    <x v="1"/>
    <x v="0"/>
    <x v="1"/>
    <n v="15322"/>
  </r>
  <r>
    <x v="0"/>
    <x v="9"/>
    <x v="9"/>
    <x v="2"/>
    <x v="0"/>
    <x v="0"/>
    <x v="0"/>
    <x v="0"/>
    <x v="1"/>
    <n v="121685"/>
  </r>
  <r>
    <x v="0"/>
    <x v="9"/>
    <x v="9"/>
    <x v="1"/>
    <x v="0"/>
    <x v="0"/>
    <x v="0"/>
    <x v="0"/>
    <x v="1"/>
    <n v="121685"/>
  </r>
  <r>
    <x v="0"/>
    <x v="9"/>
    <x v="9"/>
    <x v="0"/>
    <x v="0"/>
    <x v="0"/>
    <x v="0"/>
    <x v="0"/>
    <x v="1"/>
    <n v="121685"/>
  </r>
  <r>
    <x v="0"/>
    <x v="15"/>
    <x v="15"/>
    <x v="0"/>
    <x v="0"/>
    <x v="0"/>
    <x v="4"/>
    <x v="0"/>
    <x v="1"/>
    <n v="19"/>
  </r>
  <r>
    <x v="0"/>
    <x v="16"/>
    <x v="16"/>
    <x v="0"/>
    <x v="0"/>
    <x v="0"/>
    <x v="1"/>
    <x v="0"/>
    <x v="1"/>
    <n v="0"/>
  </r>
  <r>
    <x v="0"/>
    <x v="16"/>
    <x v="16"/>
    <x v="0"/>
    <x v="0"/>
    <x v="0"/>
    <x v="0"/>
    <x v="0"/>
    <x v="1"/>
    <n v="4"/>
  </r>
  <r>
    <x v="0"/>
    <x v="17"/>
    <x v="17"/>
    <x v="1"/>
    <x v="0"/>
    <x v="0"/>
    <x v="1"/>
    <x v="1"/>
    <x v="1"/>
    <n v="21"/>
  </r>
  <r>
    <x v="0"/>
    <x v="17"/>
    <x v="17"/>
    <x v="1"/>
    <x v="0"/>
    <x v="0"/>
    <x v="0"/>
    <x v="1"/>
    <x v="1"/>
    <n v="736"/>
  </r>
  <r>
    <x v="0"/>
    <x v="18"/>
    <x v="18"/>
    <x v="1"/>
    <x v="0"/>
    <x v="0"/>
    <x v="5"/>
    <x v="1"/>
    <x v="1"/>
    <n v="64.8"/>
  </r>
  <r>
    <x v="0"/>
    <x v="19"/>
    <x v="19"/>
    <x v="1"/>
    <x v="0"/>
    <x v="0"/>
    <x v="5"/>
    <x v="1"/>
    <x v="1"/>
    <n v="51"/>
  </r>
  <r>
    <x v="0"/>
    <x v="20"/>
    <x v="20"/>
    <x v="1"/>
    <x v="0"/>
    <x v="0"/>
    <x v="0"/>
    <x v="1"/>
    <x v="1"/>
    <n v="687"/>
  </r>
  <r>
    <x v="0"/>
    <x v="14"/>
    <x v="14"/>
    <x v="1"/>
    <x v="0"/>
    <x v="0"/>
    <x v="1"/>
    <x v="1"/>
    <x v="1"/>
    <n v="1"/>
  </r>
  <r>
    <x v="0"/>
    <x v="14"/>
    <x v="14"/>
    <x v="1"/>
    <x v="0"/>
    <x v="0"/>
    <x v="0"/>
    <x v="1"/>
    <x v="1"/>
    <n v="664"/>
  </r>
  <r>
    <x v="0"/>
    <x v="21"/>
    <x v="21"/>
    <x v="1"/>
    <x v="0"/>
    <x v="0"/>
    <x v="6"/>
    <x v="1"/>
    <x v="1"/>
    <n v="11.1"/>
  </r>
  <r>
    <x v="0"/>
    <x v="21"/>
    <x v="21"/>
    <x v="1"/>
    <x v="0"/>
    <x v="0"/>
    <x v="4"/>
    <x v="1"/>
    <x v="1"/>
    <n v="30.5"/>
  </r>
  <r>
    <x v="0"/>
    <x v="22"/>
    <x v="22"/>
    <x v="1"/>
    <x v="0"/>
    <x v="0"/>
    <x v="6"/>
    <x v="1"/>
    <x v="1"/>
    <n v="0"/>
  </r>
  <r>
    <x v="0"/>
    <x v="22"/>
    <x v="22"/>
    <x v="1"/>
    <x v="0"/>
    <x v="0"/>
    <x v="4"/>
    <x v="1"/>
    <x v="1"/>
    <n v="0.2"/>
  </r>
  <r>
    <x v="0"/>
    <x v="23"/>
    <x v="23"/>
    <x v="1"/>
    <x v="0"/>
    <x v="0"/>
    <x v="1"/>
    <x v="1"/>
    <x v="1"/>
    <n v="173"/>
  </r>
  <r>
    <x v="0"/>
    <x v="23"/>
    <x v="23"/>
    <x v="1"/>
    <x v="0"/>
    <x v="0"/>
    <x v="0"/>
    <x v="1"/>
    <x v="1"/>
    <n v="736"/>
  </r>
  <r>
    <x v="0"/>
    <x v="20"/>
    <x v="20"/>
    <x v="1"/>
    <x v="0"/>
    <x v="1"/>
    <x v="0"/>
    <x v="1"/>
    <x v="1"/>
    <n v="662"/>
  </r>
  <r>
    <x v="0"/>
    <x v="20"/>
    <x v="20"/>
    <x v="1"/>
    <x v="0"/>
    <x v="2"/>
    <x v="0"/>
    <x v="1"/>
    <x v="1"/>
    <n v="25"/>
  </r>
  <r>
    <x v="0"/>
    <x v="14"/>
    <x v="14"/>
    <x v="1"/>
    <x v="0"/>
    <x v="1"/>
    <x v="1"/>
    <x v="1"/>
    <x v="1"/>
    <n v="1"/>
  </r>
  <r>
    <x v="0"/>
    <x v="21"/>
    <x v="21"/>
    <x v="1"/>
    <x v="0"/>
    <x v="1"/>
    <x v="6"/>
    <x v="1"/>
    <x v="1"/>
    <n v="11.2"/>
  </r>
  <r>
    <x v="0"/>
    <x v="21"/>
    <x v="21"/>
    <x v="1"/>
    <x v="0"/>
    <x v="2"/>
    <x v="6"/>
    <x v="1"/>
    <x v="1"/>
    <n v="3.6"/>
  </r>
  <r>
    <x v="0"/>
    <x v="21"/>
    <x v="21"/>
    <x v="1"/>
    <x v="0"/>
    <x v="1"/>
    <x v="4"/>
    <x v="1"/>
    <x v="1"/>
    <n v="30.5"/>
  </r>
  <r>
    <x v="0"/>
    <x v="21"/>
    <x v="21"/>
    <x v="1"/>
    <x v="0"/>
    <x v="2"/>
    <x v="4"/>
    <x v="1"/>
    <x v="1"/>
    <n v="31.6"/>
  </r>
  <r>
    <x v="0"/>
    <x v="22"/>
    <x v="22"/>
    <x v="1"/>
    <x v="0"/>
    <x v="1"/>
    <x v="6"/>
    <x v="1"/>
    <x v="1"/>
    <n v="0"/>
  </r>
  <r>
    <x v="0"/>
    <x v="22"/>
    <x v="22"/>
    <x v="1"/>
    <x v="0"/>
    <x v="2"/>
    <x v="6"/>
    <x v="1"/>
    <x v="1"/>
    <n v="0.2"/>
  </r>
  <r>
    <x v="0"/>
    <x v="22"/>
    <x v="22"/>
    <x v="1"/>
    <x v="0"/>
    <x v="1"/>
    <x v="4"/>
    <x v="1"/>
    <x v="1"/>
    <n v="0.1"/>
  </r>
  <r>
    <x v="0"/>
    <x v="22"/>
    <x v="22"/>
    <x v="1"/>
    <x v="0"/>
    <x v="2"/>
    <x v="4"/>
    <x v="1"/>
    <x v="1"/>
    <n v="0.5"/>
  </r>
  <r>
    <x v="0"/>
    <x v="17"/>
    <x v="17"/>
    <x v="1"/>
    <x v="0"/>
    <x v="0"/>
    <x v="1"/>
    <x v="0"/>
    <x v="1"/>
    <n v="21"/>
  </r>
  <r>
    <x v="0"/>
    <x v="17"/>
    <x v="17"/>
    <x v="1"/>
    <x v="0"/>
    <x v="0"/>
    <x v="0"/>
    <x v="0"/>
    <x v="1"/>
    <n v="719"/>
  </r>
  <r>
    <x v="0"/>
    <x v="18"/>
    <x v="18"/>
    <x v="1"/>
    <x v="0"/>
    <x v="0"/>
    <x v="5"/>
    <x v="0"/>
    <x v="1"/>
    <n v="64.8"/>
  </r>
  <r>
    <x v="0"/>
    <x v="19"/>
    <x v="19"/>
    <x v="1"/>
    <x v="0"/>
    <x v="0"/>
    <x v="5"/>
    <x v="0"/>
    <x v="1"/>
    <n v="51"/>
  </r>
  <r>
    <x v="0"/>
    <x v="20"/>
    <x v="20"/>
    <x v="1"/>
    <x v="0"/>
    <x v="0"/>
    <x v="0"/>
    <x v="0"/>
    <x v="1"/>
    <n v="662"/>
  </r>
  <r>
    <x v="0"/>
    <x v="14"/>
    <x v="14"/>
    <x v="1"/>
    <x v="0"/>
    <x v="0"/>
    <x v="1"/>
    <x v="0"/>
    <x v="1"/>
    <n v="1"/>
  </r>
  <r>
    <x v="0"/>
    <x v="14"/>
    <x v="14"/>
    <x v="1"/>
    <x v="0"/>
    <x v="0"/>
    <x v="0"/>
    <x v="0"/>
    <x v="1"/>
    <n v="639"/>
  </r>
  <r>
    <x v="0"/>
    <x v="21"/>
    <x v="21"/>
    <x v="1"/>
    <x v="0"/>
    <x v="0"/>
    <x v="6"/>
    <x v="0"/>
    <x v="1"/>
    <n v="11.2"/>
  </r>
  <r>
    <x v="0"/>
    <x v="21"/>
    <x v="21"/>
    <x v="1"/>
    <x v="0"/>
    <x v="0"/>
    <x v="4"/>
    <x v="0"/>
    <x v="1"/>
    <n v="30.5"/>
  </r>
  <r>
    <x v="0"/>
    <x v="22"/>
    <x v="22"/>
    <x v="1"/>
    <x v="0"/>
    <x v="0"/>
    <x v="6"/>
    <x v="0"/>
    <x v="1"/>
    <n v="0"/>
  </r>
  <r>
    <x v="0"/>
    <x v="22"/>
    <x v="22"/>
    <x v="1"/>
    <x v="0"/>
    <x v="0"/>
    <x v="4"/>
    <x v="0"/>
    <x v="1"/>
    <n v="0.1"/>
  </r>
  <r>
    <x v="0"/>
    <x v="23"/>
    <x v="23"/>
    <x v="1"/>
    <x v="0"/>
    <x v="0"/>
    <x v="1"/>
    <x v="0"/>
    <x v="1"/>
    <n v="172"/>
  </r>
  <r>
    <x v="0"/>
    <x v="23"/>
    <x v="23"/>
    <x v="1"/>
    <x v="0"/>
    <x v="0"/>
    <x v="0"/>
    <x v="0"/>
    <x v="1"/>
    <n v="719"/>
  </r>
  <r>
    <x v="0"/>
    <x v="9"/>
    <x v="9"/>
    <x v="2"/>
    <x v="0"/>
    <x v="0"/>
    <x v="1"/>
    <x v="2"/>
    <x v="1"/>
    <n v="15322"/>
  </r>
  <r>
    <x v="0"/>
    <x v="9"/>
    <x v="9"/>
    <x v="1"/>
    <x v="0"/>
    <x v="0"/>
    <x v="1"/>
    <x v="2"/>
    <x v="1"/>
    <n v="15322"/>
  </r>
  <r>
    <x v="0"/>
    <x v="9"/>
    <x v="9"/>
    <x v="0"/>
    <x v="0"/>
    <x v="0"/>
    <x v="1"/>
    <x v="2"/>
    <x v="1"/>
    <n v="15322"/>
  </r>
  <r>
    <x v="0"/>
    <x v="9"/>
    <x v="9"/>
    <x v="2"/>
    <x v="0"/>
    <x v="0"/>
    <x v="0"/>
    <x v="2"/>
    <x v="1"/>
    <n v="121685"/>
  </r>
  <r>
    <x v="0"/>
    <x v="9"/>
    <x v="9"/>
    <x v="1"/>
    <x v="0"/>
    <x v="0"/>
    <x v="0"/>
    <x v="2"/>
    <x v="1"/>
    <n v="121685"/>
  </r>
  <r>
    <x v="0"/>
    <x v="9"/>
    <x v="9"/>
    <x v="0"/>
    <x v="0"/>
    <x v="0"/>
    <x v="0"/>
    <x v="2"/>
    <x v="1"/>
    <n v="121685"/>
  </r>
  <r>
    <x v="0"/>
    <x v="15"/>
    <x v="15"/>
    <x v="0"/>
    <x v="0"/>
    <x v="0"/>
    <x v="4"/>
    <x v="0"/>
    <x v="0"/>
    <n v="19"/>
  </r>
  <r>
    <x v="0"/>
    <x v="16"/>
    <x v="16"/>
    <x v="0"/>
    <x v="0"/>
    <x v="0"/>
    <x v="1"/>
    <x v="0"/>
    <x v="0"/>
    <n v="0"/>
  </r>
  <r>
    <x v="0"/>
    <x v="16"/>
    <x v="16"/>
    <x v="0"/>
    <x v="0"/>
    <x v="0"/>
    <x v="0"/>
    <x v="0"/>
    <x v="0"/>
    <n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K50" firstHeaderRow="1" firstDataRow="4" firstDataCol="3" rowPageCount="1" colPageCount="1"/>
  <pivotFields count="10">
    <pivotField axis="axisPage" compact="0" outline="0" showAll="0">
      <items count="4">
        <item m="1" x="1"/>
        <item m="1" x="2"/>
        <item x="0"/>
        <item t="default"/>
      </items>
    </pivotField>
    <pivotField axis="axisRow" compact="0" outline="0" showAll="0" defaultSubtotal="0">
      <items count="33">
        <item x="0"/>
        <item x="21"/>
        <item x="11"/>
        <item x="22"/>
        <item x="23"/>
        <item x="16"/>
        <item x="15"/>
        <item x="20"/>
        <item m="1" x="31"/>
        <item x="17"/>
        <item x="18"/>
        <item x="19"/>
        <item x="14"/>
        <item x="6"/>
        <item x="5"/>
        <item m="1" x="24"/>
        <item m="1" x="27"/>
        <item x="4"/>
        <item x="10"/>
        <item m="1" x="29"/>
        <item m="1" x="25"/>
        <item m="1" x="30"/>
        <item m="1" x="28"/>
        <item x="13"/>
        <item x="12"/>
        <item m="1" x="26"/>
        <item x="1"/>
        <item x="2"/>
        <item x="3"/>
        <item m="1" x="32"/>
        <item x="9"/>
        <item x="7"/>
        <item x="8"/>
      </items>
    </pivotField>
    <pivotField axis="axisRow" compact="0" outline="0" showAll="0" defaultSubtotal="0">
      <items count="33">
        <item m="1" x="28"/>
        <item x="13"/>
        <item m="1" x="26"/>
        <item m="1" x="25"/>
        <item x="4"/>
        <item x="5"/>
        <item m="1" x="24"/>
        <item x="0"/>
        <item x="6"/>
        <item m="1" x="32"/>
        <item x="21"/>
        <item x="11"/>
        <item x="22"/>
        <item x="23"/>
        <item x="16"/>
        <item x="15"/>
        <item x="20"/>
        <item m="1" x="29"/>
        <item x="17"/>
        <item x="18"/>
        <item x="19"/>
        <item x="14"/>
        <item m="1" x="30"/>
        <item x="12"/>
        <item m="1" x="27"/>
        <item x="1"/>
        <item x="2"/>
        <item x="3"/>
        <item m="1" x="31"/>
        <item x="10"/>
        <item x="9"/>
        <item x="7"/>
        <item x="8"/>
      </items>
    </pivotField>
    <pivotField compact="0" outline="0" showAll="0"/>
    <pivotField compact="0" outline="0" showAll="0"/>
    <pivotField axis="axisCol" compact="0" outline="0" showAll="0" defaultSubtotal="0">
      <items count="6">
        <item x="0"/>
        <item m="1" x="5"/>
        <item x="2"/>
        <item m="1" x="3"/>
        <item m="1" x="4"/>
        <item x="1"/>
      </items>
    </pivotField>
    <pivotField axis="axisRow" compact="0" outline="0" showAll="0">
      <items count="8">
        <item x="4"/>
        <item x="2"/>
        <item x="0"/>
        <item x="1"/>
        <item x="6"/>
        <item x="5"/>
        <item x="3"/>
        <item t="default"/>
      </items>
    </pivotField>
    <pivotField axis="axisCol" compact="0" outline="0" showAll="0" defaultSubtotal="0">
      <items count="3">
        <item x="1"/>
        <item x="2"/>
        <item x="0"/>
      </items>
    </pivotField>
    <pivotField axis="axisCol" compact="0" outline="0" showAll="0">
      <items count="3">
        <item x="0"/>
        <item x="1"/>
        <item t="default"/>
      </items>
    </pivotField>
    <pivotField dataField="1" compact="0" outline="0" showAll="0"/>
  </pivotFields>
  <rowFields count="3">
    <field x="2"/>
    <field x="1"/>
    <field x="6"/>
  </rowFields>
  <rowItems count="40">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3"/>
      <x v="24"/>
      <x v="2"/>
    </i>
    <i r="2">
      <x v="3"/>
    </i>
    <i>
      <x v="25"/>
      <x v="26"/>
      <x v="2"/>
    </i>
    <i r="2">
      <x v="3"/>
    </i>
    <i>
      <x v="26"/>
      <x v="27"/>
      <x v="2"/>
    </i>
    <i r="2">
      <x v="3"/>
    </i>
    <i>
      <x v="27"/>
      <x v="28"/>
      <x v="2"/>
    </i>
    <i r="2">
      <x v="3"/>
    </i>
    <i>
      <x v="29"/>
      <x v="18"/>
      <x v="6"/>
    </i>
    <i>
      <x v="30"/>
      <x v="30"/>
      <x v="2"/>
    </i>
    <i r="2">
      <x v="3"/>
    </i>
    <i>
      <x v="31"/>
      <x v="31"/>
      <x v="2"/>
    </i>
    <i r="2">
      <x v="3"/>
    </i>
    <i>
      <x v="32"/>
      <x v="32"/>
      <x v="1"/>
    </i>
  </rowItems>
  <colFields count="3">
    <field x="5"/>
    <field x="7"/>
    <field x="8"/>
  </colFields>
  <colItems count="8">
    <i>
      <x/>
      <x/>
      <x/>
    </i>
    <i r="2">
      <x v="1"/>
    </i>
    <i r="1">
      <x v="1"/>
      <x v="1"/>
    </i>
    <i r="1">
      <x v="2"/>
      <x/>
    </i>
    <i r="2">
      <x v="1"/>
    </i>
    <i>
      <x v="2"/>
      <x/>
      <x v="1"/>
    </i>
    <i>
      <x v="5"/>
      <x/>
      <x/>
    </i>
    <i r="2">
      <x v="1"/>
    </i>
  </colItems>
  <pageFields count="1">
    <pageField fld="0" hier="-1"/>
  </pageField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_mois" sourceName="annee_mois">
  <pivotTables>
    <pivotTable tabId="17" name="Tableau croisé dynamique1"/>
  </pivotTables>
  <data>
    <tabular pivotCacheId="2" showMissing="0">
      <items count="3">
        <i x="0" s="1"/>
        <i x="1" s="1" nd="1"/>
        <i x="2"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_mois" cache="Segment_annee_mois" caption="annee_moi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15" sqref="B15"/>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82" t="s">
        <v>58</v>
      </c>
      <c r="B1" s="83"/>
      <c r="C1" s="84"/>
    </row>
    <row r="2" spans="1:3" s="22" customFormat="1" ht="4.9000000000000004" customHeight="1" x14ac:dyDescent="0.25">
      <c r="A2" s="10"/>
      <c r="B2" s="11"/>
      <c r="C2" s="12"/>
    </row>
    <row r="3" spans="1:3" s="22" customFormat="1" ht="12" customHeight="1" x14ac:dyDescent="0.25">
      <c r="A3" s="10" t="s">
        <v>57</v>
      </c>
      <c r="B3" s="52"/>
      <c r="C3" s="13"/>
    </row>
    <row r="4" spans="1:3" s="22" customFormat="1" ht="12" customHeight="1" x14ac:dyDescent="0.25">
      <c r="A4" s="3" t="s">
        <v>54</v>
      </c>
      <c r="B4" s="52"/>
      <c r="C4" s="13"/>
    </row>
    <row r="5" spans="1:3" s="22" customFormat="1" ht="16.5" customHeight="1" x14ac:dyDescent="0.25">
      <c r="A5" s="10" t="s">
        <v>83</v>
      </c>
      <c r="B5" s="52"/>
      <c r="C5" s="13" t="s">
        <v>84</v>
      </c>
    </row>
    <row r="6" spans="1:3" s="22" customFormat="1" ht="48" customHeight="1" x14ac:dyDescent="0.25">
      <c r="A6" s="10" t="s">
        <v>88</v>
      </c>
      <c r="B6" s="47"/>
      <c r="C6" s="13" t="s">
        <v>87</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0" t="s">
        <v>85</v>
      </c>
      <c r="C9" s="1" t="s">
        <v>86</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65" t="s">
        <v>98</v>
      </c>
      <c r="C12" s="16" t="s">
        <v>60</v>
      </c>
    </row>
    <row r="13" spans="1:3" s="22" customFormat="1" ht="4.9000000000000004" customHeight="1" x14ac:dyDescent="0.25">
      <c r="A13" s="86" t="s">
        <v>62</v>
      </c>
      <c r="B13" s="17"/>
      <c r="C13" s="18"/>
    </row>
    <row r="14" spans="1:3" s="22" customFormat="1" ht="40.15" customHeight="1" x14ac:dyDescent="0.25">
      <c r="A14" s="87"/>
      <c r="B14" s="34" t="s">
        <v>63</v>
      </c>
      <c r="C14" s="19" t="s">
        <v>77</v>
      </c>
    </row>
    <row r="15" spans="1:3" s="22" customFormat="1" ht="40.15" customHeight="1" x14ac:dyDescent="0.25">
      <c r="A15" s="87"/>
      <c r="B15" s="35" t="s">
        <v>66</v>
      </c>
      <c r="C15" s="20" t="s">
        <v>78</v>
      </c>
    </row>
    <row r="16" spans="1:3" s="22" customFormat="1" ht="40.15" customHeight="1" x14ac:dyDescent="0.25">
      <c r="A16" s="87"/>
      <c r="B16" s="36" t="s">
        <v>49</v>
      </c>
      <c r="C16" s="85" t="s">
        <v>81</v>
      </c>
    </row>
    <row r="17" spans="1:3" s="22" customFormat="1" ht="40.15" customHeight="1" x14ac:dyDescent="0.25">
      <c r="A17" s="87"/>
      <c r="B17" s="36" t="s">
        <v>52</v>
      </c>
      <c r="C17" s="85"/>
    </row>
    <row r="18" spans="1:3" s="22" customFormat="1" ht="40.15" customHeight="1" x14ac:dyDescent="0.25">
      <c r="A18" s="87"/>
      <c r="B18" s="36" t="s">
        <v>64</v>
      </c>
      <c r="C18" s="85"/>
    </row>
    <row r="19" spans="1:3" s="22" customFormat="1" ht="40.15" customHeight="1" x14ac:dyDescent="0.25">
      <c r="A19" s="88"/>
      <c r="B19" s="37" t="s">
        <v>94</v>
      </c>
      <c r="C19" s="85"/>
    </row>
    <row r="20" spans="1:3" x14ac:dyDescent="0.25">
      <c r="A20" s="86" t="s">
        <v>93</v>
      </c>
      <c r="B20" s="26"/>
      <c r="C20" s="27" t="s">
        <v>89</v>
      </c>
    </row>
    <row r="21" spans="1:3" x14ac:dyDescent="0.25">
      <c r="A21" s="87"/>
      <c r="B21" s="28"/>
      <c r="C21" s="29" t="s">
        <v>90</v>
      </c>
    </row>
    <row r="22" spans="1:3" x14ac:dyDescent="0.25">
      <c r="A22" s="87"/>
      <c r="B22" s="30"/>
      <c r="C22" s="29" t="s">
        <v>97</v>
      </c>
    </row>
    <row r="23" spans="1:3" x14ac:dyDescent="0.25">
      <c r="A23" s="87"/>
      <c r="B23" s="33"/>
      <c r="C23" s="29" t="s">
        <v>92</v>
      </c>
    </row>
    <row r="24" spans="1:3" x14ac:dyDescent="0.25">
      <c r="A24" s="88"/>
      <c r="B24" s="31"/>
      <c r="C24" s="32" t="s">
        <v>91</v>
      </c>
    </row>
    <row r="26" spans="1:3" ht="31.5" x14ac:dyDescent="0.25">
      <c r="B26" s="68" t="e">
        <f ca="1">_xlfn.IFS(
 ISBLANK(B3),"Nom de l'OI manquant",
 ISBLANK(B4),"Code de l'OI manquant",
 ISBLANK(B5),"Année mesurée manquantes",
 ISBLANK(B6),"Mois ou trimestre mesuré manquant",
 COUNTBLANK('Annexe 2-1'!K1:K41)+COUNTBLANK('Annexe 2-2'!K1:K24)+COUNTBLANK('Annexe 3'!I1:I39)+COUNTBLANK(#REF!)=41+24+39+40,"",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49"/>
      <c r="B1" s="50" t="s">
        <v>47</v>
      </c>
      <c r="C1" s="50" t="s">
        <v>95</v>
      </c>
      <c r="D1" s="50" t="s">
        <v>48</v>
      </c>
    </row>
    <row r="2" spans="1:4" ht="19.899999999999999" customHeight="1" x14ac:dyDescent="0.25">
      <c r="A2" s="98" t="s">
        <v>49</v>
      </c>
      <c r="B2" s="99"/>
      <c r="C2" s="99"/>
      <c r="D2" s="100"/>
    </row>
    <row r="3" spans="1:4" ht="19.899999999999999" customHeight="1" x14ac:dyDescent="0.25">
      <c r="A3" s="104" t="s">
        <v>4</v>
      </c>
      <c r="B3" s="105"/>
      <c r="C3" s="105"/>
      <c r="D3" s="106"/>
    </row>
    <row r="4" spans="1:4" ht="30" customHeight="1" x14ac:dyDescent="0.25">
      <c r="A4" s="96">
        <v>1</v>
      </c>
      <c r="B4" s="107" t="s">
        <v>6</v>
      </c>
      <c r="C4" s="51" t="s">
        <v>50</v>
      </c>
      <c r="D4" s="52"/>
    </row>
    <row r="5" spans="1:4" ht="30" customHeight="1" x14ac:dyDescent="0.25">
      <c r="A5" s="97"/>
      <c r="B5" s="108"/>
      <c r="C5" s="53" t="s">
        <v>51</v>
      </c>
      <c r="D5" s="54"/>
    </row>
    <row r="6" spans="1:4" ht="30" customHeight="1" x14ac:dyDescent="0.25">
      <c r="A6" s="96">
        <v>2</v>
      </c>
      <c r="B6" s="107" t="s">
        <v>7</v>
      </c>
      <c r="C6" s="51" t="s">
        <v>50</v>
      </c>
      <c r="D6" s="52"/>
    </row>
    <row r="7" spans="1:4" ht="30" customHeight="1" x14ac:dyDescent="0.25">
      <c r="A7" s="97"/>
      <c r="B7" s="108"/>
      <c r="C7" s="53" t="s">
        <v>51</v>
      </c>
      <c r="D7" s="54"/>
    </row>
    <row r="8" spans="1:4" ht="30" customHeight="1" x14ac:dyDescent="0.25">
      <c r="A8" s="96">
        <v>3</v>
      </c>
      <c r="B8" s="107" t="s">
        <v>8</v>
      </c>
      <c r="C8" s="51" t="s">
        <v>50</v>
      </c>
      <c r="D8" s="52"/>
    </row>
    <row r="9" spans="1:4" ht="30" customHeight="1" x14ac:dyDescent="0.25">
      <c r="A9" s="97"/>
      <c r="B9" s="108"/>
      <c r="C9" s="77" t="s">
        <v>96</v>
      </c>
      <c r="D9" s="54"/>
    </row>
    <row r="10" spans="1:4" ht="30" customHeight="1" x14ac:dyDescent="0.25">
      <c r="A10" s="55">
        <v>4</v>
      </c>
      <c r="B10" s="56" t="s">
        <v>9</v>
      </c>
      <c r="C10" s="57" t="s">
        <v>82</v>
      </c>
      <c r="D10" s="47"/>
    </row>
    <row r="11" spans="1:4" ht="30" customHeight="1" x14ac:dyDescent="0.25">
      <c r="A11" s="55">
        <v>5</v>
      </c>
      <c r="B11" s="56" t="s">
        <v>10</v>
      </c>
      <c r="C11" s="57" t="s">
        <v>82</v>
      </c>
      <c r="D11" s="47"/>
    </row>
    <row r="12" spans="1:4" ht="30" customHeight="1" x14ac:dyDescent="0.25">
      <c r="A12" s="96">
        <v>6</v>
      </c>
      <c r="B12" s="107" t="s">
        <v>11</v>
      </c>
      <c r="C12" s="51" t="s">
        <v>50</v>
      </c>
      <c r="D12" s="52"/>
    </row>
    <row r="13" spans="1:4" ht="30" customHeight="1" x14ac:dyDescent="0.25">
      <c r="A13" s="97"/>
      <c r="B13" s="108"/>
      <c r="C13" s="53" t="s">
        <v>51</v>
      </c>
      <c r="D13" s="54"/>
    </row>
    <row r="14" spans="1:4" ht="30" customHeight="1" x14ac:dyDescent="0.25">
      <c r="A14" s="55">
        <v>7</v>
      </c>
      <c r="B14" s="56" t="s">
        <v>12</v>
      </c>
      <c r="C14" s="57" t="s">
        <v>82</v>
      </c>
      <c r="D14" s="47"/>
    </row>
    <row r="15" spans="1:4" ht="30" customHeight="1" x14ac:dyDescent="0.25">
      <c r="A15" s="55">
        <v>8</v>
      </c>
      <c r="B15" s="56" t="s">
        <v>13</v>
      </c>
      <c r="C15" s="51" t="s">
        <v>82</v>
      </c>
      <c r="D15" s="52"/>
    </row>
    <row r="16" spans="1:4" ht="30" customHeight="1" x14ac:dyDescent="0.25">
      <c r="A16" s="55">
        <v>9</v>
      </c>
      <c r="B16" s="56" t="s">
        <v>14</v>
      </c>
      <c r="C16" s="57" t="s">
        <v>82</v>
      </c>
      <c r="D16" s="47"/>
    </row>
    <row r="17" spans="1:4" ht="30" customHeight="1" x14ac:dyDescent="0.25">
      <c r="A17" s="94">
        <v>10</v>
      </c>
      <c r="B17" s="89" t="s">
        <v>15</v>
      </c>
      <c r="C17" s="51" t="s">
        <v>50</v>
      </c>
      <c r="D17" s="52"/>
    </row>
    <row r="18" spans="1:4" ht="30" customHeight="1" x14ac:dyDescent="0.25">
      <c r="A18" s="95"/>
      <c r="B18" s="90"/>
      <c r="C18" s="53" t="s">
        <v>51</v>
      </c>
      <c r="D18" s="54"/>
    </row>
    <row r="19" spans="1:4" ht="19.899999999999999" customHeight="1" x14ac:dyDescent="0.25">
      <c r="A19" s="91" t="s">
        <v>5</v>
      </c>
      <c r="B19" s="92"/>
      <c r="C19" s="92"/>
      <c r="D19" s="93"/>
    </row>
    <row r="20" spans="1:4" ht="30" customHeight="1" x14ac:dyDescent="0.25">
      <c r="A20" s="94">
        <v>11</v>
      </c>
      <c r="B20" s="89" t="s">
        <v>16</v>
      </c>
      <c r="C20" s="51" t="s">
        <v>50</v>
      </c>
      <c r="D20" s="52"/>
    </row>
    <row r="21" spans="1:4" ht="30" customHeight="1" x14ac:dyDescent="0.25">
      <c r="A21" s="95"/>
      <c r="B21" s="90"/>
      <c r="C21" s="53" t="s">
        <v>51</v>
      </c>
      <c r="D21" s="54"/>
    </row>
    <row r="22" spans="1:4" ht="30" customHeight="1" x14ac:dyDescent="0.25">
      <c r="A22" s="55">
        <v>12</v>
      </c>
      <c r="B22" s="56" t="s">
        <v>17</v>
      </c>
      <c r="C22" s="51" t="s">
        <v>82</v>
      </c>
      <c r="D22" s="52"/>
    </row>
    <row r="23" spans="1:4" ht="30" customHeight="1" x14ac:dyDescent="0.25">
      <c r="A23" s="94">
        <v>13</v>
      </c>
      <c r="B23" s="89" t="s">
        <v>18</v>
      </c>
      <c r="C23" s="51" t="s">
        <v>50</v>
      </c>
      <c r="D23" s="52"/>
    </row>
    <row r="24" spans="1:4" ht="30" customHeight="1" x14ac:dyDescent="0.25">
      <c r="A24" s="95"/>
      <c r="B24" s="90"/>
      <c r="C24" s="53" t="s">
        <v>51</v>
      </c>
      <c r="D24" s="54"/>
    </row>
    <row r="25" spans="1:4" ht="30" customHeight="1" x14ac:dyDescent="0.25">
      <c r="A25" s="55">
        <v>14</v>
      </c>
      <c r="B25" s="56" t="s">
        <v>19</v>
      </c>
      <c r="C25" s="51" t="s">
        <v>82</v>
      </c>
      <c r="D25" s="52"/>
    </row>
    <row r="26" spans="1:4" ht="30" customHeight="1" x14ac:dyDescent="0.25">
      <c r="A26" s="94">
        <v>15</v>
      </c>
      <c r="B26" s="89" t="s">
        <v>20</v>
      </c>
      <c r="C26" s="51" t="s">
        <v>50</v>
      </c>
      <c r="D26" s="52"/>
    </row>
    <row r="27" spans="1:4" ht="30" customHeight="1" x14ac:dyDescent="0.25">
      <c r="A27" s="95"/>
      <c r="B27" s="90"/>
      <c r="C27" s="53" t="s">
        <v>51</v>
      </c>
      <c r="D27" s="54"/>
    </row>
    <row r="28" spans="1:4" ht="30" customHeight="1" x14ac:dyDescent="0.25">
      <c r="A28" s="55">
        <v>16</v>
      </c>
      <c r="B28" s="56" t="s">
        <v>21</v>
      </c>
      <c r="C28" s="51" t="s">
        <v>82</v>
      </c>
      <c r="D28" s="52"/>
    </row>
    <row r="29" spans="1:4" ht="30" customHeight="1" x14ac:dyDescent="0.25">
      <c r="A29" s="94">
        <v>17</v>
      </c>
      <c r="B29" s="89" t="s">
        <v>22</v>
      </c>
      <c r="C29" s="51" t="s">
        <v>50</v>
      </c>
      <c r="D29" s="52"/>
    </row>
    <row r="30" spans="1:4" ht="30" customHeight="1" x14ac:dyDescent="0.25">
      <c r="A30" s="95"/>
      <c r="B30" s="90"/>
      <c r="C30" s="53" t="s">
        <v>51</v>
      </c>
      <c r="D30" s="54"/>
    </row>
    <row r="31" spans="1:4" ht="30" customHeight="1" x14ac:dyDescent="0.25">
      <c r="A31" s="94">
        <v>18</v>
      </c>
      <c r="B31" s="89" t="s">
        <v>23</v>
      </c>
      <c r="C31" s="51" t="s">
        <v>50</v>
      </c>
      <c r="D31" s="52"/>
    </row>
    <row r="32" spans="1:4" ht="30" customHeight="1" x14ac:dyDescent="0.25">
      <c r="A32" s="95"/>
      <c r="B32" s="90"/>
      <c r="C32" s="53" t="s">
        <v>51</v>
      </c>
      <c r="D32" s="54"/>
    </row>
    <row r="33" spans="1:4" ht="19.899999999999999" customHeight="1" x14ac:dyDescent="0.25">
      <c r="A33" s="98" t="s">
        <v>52</v>
      </c>
      <c r="B33" s="99"/>
      <c r="C33" s="99"/>
      <c r="D33" s="100"/>
    </row>
    <row r="34" spans="1:4" ht="19.899999999999999" customHeight="1" x14ac:dyDescent="0.25">
      <c r="A34" s="91" t="s">
        <v>4</v>
      </c>
      <c r="B34" s="92"/>
      <c r="C34" s="92"/>
      <c r="D34" s="93"/>
    </row>
    <row r="35" spans="1:4" ht="30" customHeight="1" x14ac:dyDescent="0.25">
      <c r="A35" s="94">
        <v>19</v>
      </c>
      <c r="B35" s="89" t="s">
        <v>24</v>
      </c>
      <c r="C35" s="51" t="s">
        <v>50</v>
      </c>
      <c r="D35" s="52"/>
    </row>
    <row r="36" spans="1:4" ht="30" customHeight="1" x14ac:dyDescent="0.25">
      <c r="A36" s="95"/>
      <c r="B36" s="90"/>
      <c r="C36" s="53" t="s">
        <v>51</v>
      </c>
      <c r="D36" s="54"/>
    </row>
    <row r="37" spans="1:4" ht="30" customHeight="1" x14ac:dyDescent="0.25">
      <c r="A37" s="55">
        <v>20</v>
      </c>
      <c r="B37" s="56" t="s">
        <v>25</v>
      </c>
      <c r="C37" s="51" t="s">
        <v>82</v>
      </c>
      <c r="D37" s="52"/>
    </row>
    <row r="38" spans="1:4" ht="19.899999999999999" customHeight="1" x14ac:dyDescent="0.25">
      <c r="A38" s="91" t="s">
        <v>5</v>
      </c>
      <c r="B38" s="92"/>
      <c r="C38" s="92"/>
      <c r="D38" s="93"/>
    </row>
    <row r="39" spans="1:4" ht="30" customHeight="1" x14ac:dyDescent="0.25">
      <c r="A39" s="94">
        <v>21</v>
      </c>
      <c r="B39" s="89" t="s">
        <v>26</v>
      </c>
      <c r="C39" s="51" t="s">
        <v>50</v>
      </c>
      <c r="D39" s="52"/>
    </row>
    <row r="40" spans="1:4" ht="30" customHeight="1" x14ac:dyDescent="0.25">
      <c r="A40" s="95"/>
      <c r="B40" s="90"/>
      <c r="C40" s="53" t="s">
        <v>51</v>
      </c>
      <c r="D40" s="54"/>
    </row>
    <row r="41" spans="1:4" ht="30" customHeight="1" x14ac:dyDescent="0.25">
      <c r="A41" s="55">
        <v>22</v>
      </c>
      <c r="B41" s="56" t="s">
        <v>27</v>
      </c>
      <c r="C41" s="51" t="s">
        <v>82</v>
      </c>
      <c r="D41" s="52"/>
    </row>
    <row r="42" spans="1:4" ht="30" customHeight="1" x14ac:dyDescent="0.25">
      <c r="A42" s="55">
        <v>23</v>
      </c>
      <c r="B42" s="56" t="s">
        <v>28</v>
      </c>
      <c r="C42" s="51" t="s">
        <v>82</v>
      </c>
      <c r="D42" s="52"/>
    </row>
    <row r="43" spans="1:4" ht="30" customHeight="1" x14ac:dyDescent="0.25">
      <c r="A43" s="94">
        <v>24</v>
      </c>
      <c r="B43" s="89" t="s">
        <v>29</v>
      </c>
      <c r="C43" s="51" t="s">
        <v>50</v>
      </c>
      <c r="D43" s="52"/>
    </row>
    <row r="44" spans="1:4" ht="30" customHeight="1" x14ac:dyDescent="0.25">
      <c r="A44" s="95"/>
      <c r="B44" s="90"/>
      <c r="C44" s="53" t="s">
        <v>51</v>
      </c>
      <c r="D44" s="54"/>
    </row>
    <row r="45" spans="1:4" ht="30" customHeight="1" x14ac:dyDescent="0.25">
      <c r="A45" s="94">
        <v>25</v>
      </c>
      <c r="B45" s="89" t="s">
        <v>30</v>
      </c>
      <c r="C45" s="51" t="s">
        <v>50</v>
      </c>
      <c r="D45" s="52"/>
    </row>
    <row r="46" spans="1:4" ht="30" customHeight="1" x14ac:dyDescent="0.25">
      <c r="A46" s="95"/>
      <c r="B46" s="90"/>
      <c r="C46" s="53" t="s">
        <v>51</v>
      </c>
      <c r="D46" s="54"/>
    </row>
    <row r="47" spans="1:4" ht="30" customHeight="1" x14ac:dyDescent="0.25">
      <c r="A47" s="94">
        <v>26</v>
      </c>
      <c r="B47" s="89" t="s">
        <v>31</v>
      </c>
      <c r="C47" s="51" t="s">
        <v>50</v>
      </c>
      <c r="D47" s="52"/>
    </row>
    <row r="48" spans="1:4" ht="30" customHeight="1" x14ac:dyDescent="0.25">
      <c r="A48" s="95"/>
      <c r="B48" s="90"/>
      <c r="C48" s="53" t="s">
        <v>51</v>
      </c>
      <c r="D48" s="54"/>
    </row>
    <row r="49" spans="1:4" ht="30" customHeight="1" x14ac:dyDescent="0.25">
      <c r="A49" s="94">
        <v>27</v>
      </c>
      <c r="B49" s="89" t="s">
        <v>32</v>
      </c>
      <c r="C49" s="51" t="s">
        <v>50</v>
      </c>
      <c r="D49" s="52"/>
    </row>
    <row r="50" spans="1:4" ht="30" customHeight="1" x14ac:dyDescent="0.25">
      <c r="A50" s="95"/>
      <c r="B50" s="90"/>
      <c r="C50" s="53" t="s">
        <v>51</v>
      </c>
      <c r="D50" s="54"/>
    </row>
    <row r="51" spans="1:4" ht="19.899999999999999" customHeight="1" x14ac:dyDescent="0.25">
      <c r="A51" s="98" t="s">
        <v>53</v>
      </c>
      <c r="B51" s="99"/>
      <c r="C51" s="99"/>
      <c r="D51" s="100"/>
    </row>
    <row r="52" spans="1:4" ht="19.899999999999999" customHeight="1" x14ac:dyDescent="0.25">
      <c r="A52" s="91" t="s">
        <v>4</v>
      </c>
      <c r="B52" s="92"/>
      <c r="C52" s="92"/>
      <c r="D52" s="93"/>
    </row>
    <row r="53" spans="1:4" ht="30" customHeight="1" x14ac:dyDescent="0.25">
      <c r="A53" s="94">
        <v>28</v>
      </c>
      <c r="B53" s="89" t="s">
        <v>42</v>
      </c>
      <c r="C53" s="51" t="s">
        <v>50</v>
      </c>
      <c r="D53" s="52"/>
    </row>
    <row r="54" spans="1:4" ht="30" customHeight="1" x14ac:dyDescent="0.25">
      <c r="A54" s="95"/>
      <c r="B54" s="90"/>
      <c r="C54" s="53" t="s">
        <v>51</v>
      </c>
      <c r="D54" s="54"/>
    </row>
    <row r="55" spans="1:4" ht="30" customHeight="1" x14ac:dyDescent="0.25">
      <c r="A55" s="94"/>
      <c r="B55" s="101" t="s">
        <v>41</v>
      </c>
      <c r="C55" s="51" t="s">
        <v>50</v>
      </c>
      <c r="D55" s="52"/>
    </row>
    <row r="56" spans="1:4" ht="30" customHeight="1" x14ac:dyDescent="0.25">
      <c r="A56" s="95"/>
      <c r="B56" s="102"/>
      <c r="C56" s="53" t="s">
        <v>51</v>
      </c>
      <c r="D56" s="54"/>
    </row>
    <row r="57" spans="1:4" ht="30" customHeight="1" x14ac:dyDescent="0.25">
      <c r="A57" s="94"/>
      <c r="B57" s="101" t="s">
        <v>40</v>
      </c>
      <c r="C57" s="51" t="s">
        <v>50</v>
      </c>
      <c r="D57" s="52"/>
    </row>
    <row r="58" spans="1:4" ht="30" customHeight="1" x14ac:dyDescent="0.25">
      <c r="A58" s="95"/>
      <c r="B58" s="103"/>
      <c r="C58" s="53" t="s">
        <v>51</v>
      </c>
      <c r="D58" s="54"/>
    </row>
    <row r="59" spans="1:4" ht="30" customHeight="1" x14ac:dyDescent="0.25">
      <c r="A59" s="94">
        <v>29</v>
      </c>
      <c r="B59" s="89" t="s">
        <v>33</v>
      </c>
      <c r="C59" s="51" t="s">
        <v>50</v>
      </c>
      <c r="D59" s="52"/>
    </row>
    <row r="60" spans="1:4" ht="30" customHeight="1" x14ac:dyDescent="0.25">
      <c r="A60" s="95"/>
      <c r="B60" s="90"/>
      <c r="C60" s="53" t="s">
        <v>51</v>
      </c>
      <c r="D60" s="54"/>
    </row>
    <row r="61" spans="1:4" ht="30" customHeight="1" x14ac:dyDescent="0.25">
      <c r="A61" s="55">
        <v>30</v>
      </c>
      <c r="B61" s="56" t="s">
        <v>43</v>
      </c>
      <c r="C61" s="51" t="s">
        <v>82</v>
      </c>
      <c r="D61" s="52"/>
    </row>
    <row r="62" spans="1:4" ht="30" customHeight="1" x14ac:dyDescent="0.25">
      <c r="A62" s="55">
        <v>31</v>
      </c>
      <c r="B62" s="56" t="s">
        <v>44</v>
      </c>
      <c r="C62" s="51" t="s">
        <v>82</v>
      </c>
      <c r="D62" s="52"/>
    </row>
    <row r="63" spans="1:4" ht="30" customHeight="1" x14ac:dyDescent="0.25">
      <c r="A63" s="94">
        <v>32</v>
      </c>
      <c r="B63" s="89" t="s">
        <v>45</v>
      </c>
      <c r="C63" s="51" t="s">
        <v>50</v>
      </c>
      <c r="D63" s="52"/>
    </row>
    <row r="64" spans="1:4" ht="30" customHeight="1" x14ac:dyDescent="0.25">
      <c r="A64" s="95"/>
      <c r="B64" s="90"/>
      <c r="C64" s="53" t="s">
        <v>51</v>
      </c>
      <c r="D64" s="54"/>
    </row>
    <row r="65" spans="1:4" ht="30" customHeight="1" x14ac:dyDescent="0.25">
      <c r="A65" s="94">
        <v>33</v>
      </c>
      <c r="B65" s="89" t="s">
        <v>34</v>
      </c>
      <c r="C65" s="51" t="s">
        <v>50</v>
      </c>
      <c r="D65" s="52" t="s">
        <v>134</v>
      </c>
    </row>
    <row r="66" spans="1:4" ht="30" customHeight="1" x14ac:dyDescent="0.25">
      <c r="A66" s="95"/>
      <c r="B66" s="90"/>
      <c r="C66" s="53" t="s">
        <v>51</v>
      </c>
      <c r="D66" s="52" t="s">
        <v>134</v>
      </c>
    </row>
    <row r="67" spans="1:4" ht="19.899999999999999" customHeight="1" x14ac:dyDescent="0.25">
      <c r="A67" s="91" t="s">
        <v>35</v>
      </c>
      <c r="B67" s="92"/>
      <c r="C67" s="92"/>
      <c r="D67" s="93"/>
    </row>
    <row r="68" spans="1:4" ht="30" customHeight="1" x14ac:dyDescent="0.25">
      <c r="A68" s="94">
        <v>34</v>
      </c>
      <c r="B68" s="89" t="s">
        <v>36</v>
      </c>
      <c r="C68" s="51" t="s">
        <v>50</v>
      </c>
      <c r="D68" s="52"/>
    </row>
    <row r="69" spans="1:4" ht="30" customHeight="1" x14ac:dyDescent="0.25">
      <c r="A69" s="95"/>
      <c r="B69" s="90"/>
      <c r="C69" s="53" t="s">
        <v>51</v>
      </c>
      <c r="D69" s="54"/>
    </row>
    <row r="70" spans="1:4" ht="30" customHeight="1" x14ac:dyDescent="0.25">
      <c r="A70" s="94">
        <v>35</v>
      </c>
      <c r="B70" s="89" t="s">
        <v>37</v>
      </c>
      <c r="C70" s="51" t="s">
        <v>50</v>
      </c>
      <c r="D70" s="52"/>
    </row>
    <row r="71" spans="1:4" ht="30" customHeight="1" x14ac:dyDescent="0.25">
      <c r="A71" s="95"/>
      <c r="B71" s="90"/>
      <c r="C71" s="53" t="s">
        <v>96</v>
      </c>
      <c r="D71" s="54"/>
    </row>
    <row r="72" spans="1:4" ht="19.899999999999999" customHeight="1" x14ac:dyDescent="0.25">
      <c r="A72" s="91" t="s">
        <v>5</v>
      </c>
      <c r="B72" s="92"/>
      <c r="C72" s="92"/>
      <c r="D72" s="93"/>
    </row>
    <row r="73" spans="1:4" ht="30" customHeight="1" x14ac:dyDescent="0.25">
      <c r="A73" s="94">
        <v>36</v>
      </c>
      <c r="B73" s="89" t="s">
        <v>46</v>
      </c>
      <c r="C73" s="51" t="s">
        <v>50</v>
      </c>
      <c r="D73" s="52"/>
    </row>
    <row r="74" spans="1:4" ht="30" customHeight="1" x14ac:dyDescent="0.25">
      <c r="A74" s="95"/>
      <c r="B74" s="90"/>
      <c r="C74" s="53" t="s">
        <v>51</v>
      </c>
      <c r="D74" s="54"/>
    </row>
    <row r="75" spans="1:4" ht="30" customHeight="1" x14ac:dyDescent="0.25">
      <c r="A75" s="55">
        <v>37</v>
      </c>
      <c r="B75" s="56" t="s">
        <v>38</v>
      </c>
      <c r="C75" s="51" t="s">
        <v>82</v>
      </c>
      <c r="D75" s="52"/>
    </row>
    <row r="76" spans="1:4" ht="30" customHeight="1" x14ac:dyDescent="0.25">
      <c r="A76" s="94">
        <v>38</v>
      </c>
      <c r="B76" s="89" t="s">
        <v>39</v>
      </c>
      <c r="C76" s="51" t="s">
        <v>50</v>
      </c>
      <c r="D76" s="52"/>
    </row>
    <row r="77" spans="1:4" ht="30" customHeight="1" x14ac:dyDescent="0.25">
      <c r="A77" s="95"/>
      <c r="B77" s="90"/>
      <c r="C77" s="53" t="s">
        <v>51</v>
      </c>
      <c r="D77" s="54"/>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48" customWidth="1"/>
    <col min="3" max="16384" width="11.42578125" style="41"/>
  </cols>
  <sheetData>
    <row r="1" spans="1:5" ht="80.099999999999994" customHeight="1" x14ac:dyDescent="0.25">
      <c r="A1" s="109" t="s">
        <v>67</v>
      </c>
      <c r="B1" s="110"/>
      <c r="D1" s="42"/>
      <c r="E1" s="42"/>
    </row>
    <row r="2" spans="1:5" ht="5.0999999999999996" customHeight="1" x14ac:dyDescent="0.25">
      <c r="A2" s="43"/>
      <c r="B2" s="43"/>
      <c r="D2" s="42"/>
      <c r="E2" s="42"/>
    </row>
    <row r="3" spans="1:5" x14ac:dyDescent="0.25">
      <c r="A3" s="44" t="s">
        <v>79</v>
      </c>
      <c r="B3" s="45" t="s">
        <v>80</v>
      </c>
      <c r="D3" s="42"/>
      <c r="E3" s="42"/>
    </row>
    <row r="4" spans="1:5" x14ac:dyDescent="0.25">
      <c r="A4" s="46"/>
      <c r="B4" s="46"/>
    </row>
    <row r="5" spans="1:5" x14ac:dyDescent="0.25">
      <c r="A5" s="47"/>
      <c r="B5" s="47"/>
    </row>
    <row r="6" spans="1:5" x14ac:dyDescent="0.25">
      <c r="A6" s="47"/>
      <c r="B6" s="47"/>
    </row>
    <row r="7" spans="1:5" x14ac:dyDescent="0.25">
      <c r="A7" s="47"/>
      <c r="B7" s="47"/>
    </row>
    <row r="8" spans="1:5" x14ac:dyDescent="0.25">
      <c r="A8" s="47"/>
      <c r="B8" s="47"/>
    </row>
    <row r="9" spans="1:5" x14ac:dyDescent="0.25">
      <c r="A9" s="47"/>
      <c r="B9" s="47"/>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C38" sqref="C38"/>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66"/>
    <col min="12"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1" t="s">
        <v>6</v>
      </c>
      <c r="B4" s="8" t="s">
        <v>1</v>
      </c>
      <c r="C4" s="60">
        <f>IFERROR(GETPIVOTDATA("valeur",VUE_KPI_FTTH!$A$7,"codeIndicateur","i","unite","Numérateur","maille","Maille OI","type_valeur","Valeurs Nettes","OC","(vide)"),VUE_KPI_FTTH!A1)</f>
        <v>1</v>
      </c>
      <c r="D4" s="60">
        <f>IFERROR(GETPIVOTDATA("valeur",VUE_KPI_FTTH!$A$7,"codeIndicateur","i","unite","Numérateur","maille","Maille OI","type_valeur","Valeurs Brutes","OC","(vide)"),VUE_KPI_FTTH!A1)</f>
        <v>1</v>
      </c>
      <c r="E4" s="60" t="str">
        <f>IFERROR(GETPIVOTDATA("valeur",VUE_KPI_FTTH!$A$7,"codeIndicateur","i","unite","Numérateur","maille","Maille OI (offres commercialisées sur le marché de gros activé)","type_valeur","Valeurs Nettes","OC","(vide)"),VUE_KPI_FTTH!A1)</f>
        <v>N/A</v>
      </c>
      <c r="F4" s="60" t="str">
        <f>IFERROR(GETPIVOTDATA("valeur",VUE_KPI_FTTH!$A$7,"codeIndicateur","i","unite","Numérateur","maille","Maille OI (offres commercialisées sur le marché de gros activé)","type_valeur","Valeurs Brutes","OC","(vide)"),VUE_KPI_FTTH!A1)</f>
        <v>N/A</v>
      </c>
      <c r="G4" s="60">
        <f>IFERROR(GETPIVOTDATA("valeur",VUE_KPI_FTTH!$A$7,"codeIndicateur","i","unite","Numérateur","maille","Maille OI (offres commercialisées sur le marché de détail - Autofourniture)","type_valeur","Valeurs Nettes","OC","(vide)"),VUE_KPI_FTTH!A1)</f>
        <v>1</v>
      </c>
      <c r="H4" s="60">
        <f>IFERROR(GETPIVOTDATA("valeur",VUE_KPI_FTTH!$A$7,"codeIndicateur","i","unite","Numérateur","maille","Maille OI (offres commercialisées sur le marché de détail - Autofourniture)","type_valeur","Valeurs Brutes","OC","(vide)"),VUE_KPI_FTTH!A1)</f>
        <v>1</v>
      </c>
      <c r="I4" s="60" t="str">
        <f>IFERROR(GETPIVOTDATA("valeur",VUE_KPI_FTTH!$A$7,"codeIndicateur","i","unite","Numérateur","maille","Maille d'appréciation","type_valeur","Valeurs Nettes","OC","(vide)"),VUE_KPI_FTTH!A1)</f>
        <v>N/A</v>
      </c>
      <c r="J4" s="60" t="str">
        <f>IFERROR(GETPIVOTDATA("valeur",VUE_KPI_FTTH!$A$7,"codeIndicateur","i","unite","Numérateur","maille","Maille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2"/>
      <c r="B5" s="5" t="s">
        <v>2</v>
      </c>
      <c r="C5" s="62">
        <f>IFERROR(GETPIVOTDATA("valeur",VUE_KPI_FTTH!$A$7,"codeIndicateur","i","unite","Dénominateur","maille","Maille OI","type_valeur","Valeurs Nettes","OC","(vide)"),VUE_KPI_FTTH!A1)</f>
        <v>752</v>
      </c>
      <c r="D5" s="60">
        <f>IFERROR(GETPIVOTDATA("valeur",VUE_KPI_FTTH!$A$7,"codeIndicateur","i","unite","Dénominateur","maille","Maille OI","type_valeur","Valeurs Brutes","OC","(vide)"),VUE_KPI_FTTH!A1)</f>
        <v>752</v>
      </c>
      <c r="E5" s="62" t="str">
        <f>IFERROR(GETPIVOTDATA("valeur",VUE_KPI_FTTH!$A$7,"codeIndicateur","i","unite","Dénominateur","maille","Maille OI (offres commercialisées sur le marché de gros activé)","type_valeur","Valeurs Nettes","OC","(vide)"),VUE_KPI_FTTH!A1)</f>
        <v>N/A</v>
      </c>
      <c r="F5" s="62" t="str">
        <f>IFERROR(GETPIVOTDATA("valeur",VUE_KPI_FTTH!$A$7,"codeIndicateur","i","unite","Dénominateur","maille","Maille OI (offres commercialisées sur le marché de gros activé)","type_valeur","Valeurs Brutes","OC","(vide)"),VUE_KPI_FTTH!A1)</f>
        <v>N/A</v>
      </c>
      <c r="G5" s="62">
        <f>IFERROR(GETPIVOTDATA("valeur",VUE_KPI_FTTH!$A$7,"codeIndicateur","i","unite","Dénominateur","maille","Maille OI (offres commercialisées sur le marché de détail - Autofourniture)","type_valeur","Valeurs Nettes","OC","(vide)"),VUE_KPI_FTTH!A1)</f>
        <v>723</v>
      </c>
      <c r="H5" s="62">
        <f>IFERROR(GETPIVOTDATA("valeur",VUE_KPI_FTTH!$A$7,"codeIndicateur","i","unite","Dénominateur","maille","Maille OI (offres commercialisées sur le marché de détail - Autofourniture)","type_valeur","Valeurs Brutes","OC","(vide)"),VUE_KPI_FTTH!A1)</f>
        <v>723</v>
      </c>
      <c r="I5" s="62" t="str">
        <f>IFERROR(GETPIVOTDATA("valeur",VUE_KPI_FTTH!$A$7,"codeIndicateur","i","unite","Dénominateur","maille","Maille d'appréciation","type_valeur","Valeurs Nettes","OC","(vide)"),VUE_KPI_FTTH!A1)</f>
        <v>N/A</v>
      </c>
      <c r="J5" s="62" t="str">
        <f>IFERROR(GETPIVOTDATA("valeur",VUE_KPI_FTTH!$A$7,"codeIndicateur","i","unite","Dénominateur","maille","Maille d'appréciation","type_valeur","Valeurs Brutes","OC","(vide)"),VUE_KPI_FTTH!A1)</f>
        <v>N/A</v>
      </c>
      <c r="K5" s="67"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2"/>
      <c r="B6" s="5" t="s">
        <v>3</v>
      </c>
      <c r="C6" s="64">
        <f>IF(OR(C5="",C5="N/A",C5="NC",C5="ND"),"",C4/C5)</f>
        <v>1.3297872340425532E-3</v>
      </c>
      <c r="D6" s="64">
        <f t="shared" ref="D6:J6" si="1">IF(OR(D5="",D5="N/A",D5="NC",D5="ND"),"",D4/D5)</f>
        <v>1.3297872340425532E-3</v>
      </c>
      <c r="E6" s="64" t="str">
        <f t="shared" si="1"/>
        <v/>
      </c>
      <c r="F6" s="64" t="str">
        <f t="shared" si="1"/>
        <v/>
      </c>
      <c r="G6" s="64">
        <f t="shared" si="1"/>
        <v>1.3831258644536654E-3</v>
      </c>
      <c r="H6" s="64">
        <f t="shared" si="1"/>
        <v>1.3831258644536654E-3</v>
      </c>
      <c r="I6" s="64" t="str">
        <f t="shared" si="1"/>
        <v/>
      </c>
      <c r="J6" s="64" t="str">
        <f t="shared" si="1"/>
        <v/>
      </c>
      <c r="K6" s="67" t="e">
        <f t="shared" ca="1" si="0"/>
        <v>#NAME?</v>
      </c>
    </row>
    <row r="7" spans="1:11" ht="30" customHeight="1" x14ac:dyDescent="0.25">
      <c r="A7" s="111" t="s">
        <v>7</v>
      </c>
      <c r="B7" s="8" t="s">
        <v>1</v>
      </c>
      <c r="C7" s="60" t="str">
        <f>IFERROR(GETPIVOTDATA("valeur",VUE_KPI_FTTH!$A$7,"codeIndicateur","ii","unite","Numérateur","maille","Maille OI","type_valeur","Valeurs Nettes","OC","(vide)"),VUE_KPI_FTTH!A1)</f>
        <v>N/A</v>
      </c>
      <c r="D7" s="60">
        <f>IFERROR(GETPIVOTDATA("valeur",VUE_KPI_FTTH!$A$7,"codeIndicateur","ii","unite","Numérateur","maille","Maille OI","type_valeur","Valeurs Brutes","OC","(vide)"),VUE_KPI_FTTH!A2)</f>
        <v>0</v>
      </c>
      <c r="E7" s="60" t="str">
        <f>IFERROR(GETPIVOTDATA("valeur",VUE_KPI_FTTH!$A$7,"codeIndicateur","ii","unite","Numérateur","maille","Maille OI (offres commercialisées sur le marché de gros activé)","type_valeur","Valeurs Nettes","OC","(vide)"),VUE_KPI_FTTH!A1)</f>
        <v>N/A</v>
      </c>
      <c r="F7" s="60">
        <f>IFERROR(GETPIVOTDATA("valeur",VUE_KPI_FTTH!$A$7,"codeIndicateur","ii","unite","Numérateur","maille","Maille OI (offres commercialisées sur le marché de gros activé)","type_valeur","Valeurs Brutes","OC","(vide)"),VUE_KPI_FTTH!A2)</f>
        <v>0</v>
      </c>
      <c r="G7" s="60" t="str">
        <f>IFERROR(GETPIVOTDATA("valeur",VUE_KPI_FTTH!$A$7,"codeIndicateur","ii","unite","Numérateur","maille","Maille OI (offres commercialisées sur le marché de détail - Autofourniture)","type_valeur","Valeurs Nettes","OC","(vide)"),VUE_KPI_FTTH!A1)</f>
        <v>N/A</v>
      </c>
      <c r="H7" s="60">
        <f>IFERROR(GETPIVOTDATA("valeur",VUE_KPI_FTTH!$A$7,"codeIndicateur","ii","unite","Numérateur","maille","Maille OI (offres commercialisées sur le marché de détail - Autofourniture)","type_valeur","Valeurs Brutes","OC","(vide)"),VUE_KPI_FTTH!A2)</f>
        <v>0</v>
      </c>
      <c r="I7" s="60" t="str">
        <f>IFERROR(GETPIVOTDATA("valeur",VUE_KPI_FTTH!$A$7,"codeIndicateur","ii","unite","Numérateur","maille","Maille d'appréciation","type_valeur","Valeurs Nettes","OC","(vide)"),VUE_KPI_FTTH!A1)</f>
        <v>N/A</v>
      </c>
      <c r="J7" s="60" t="str">
        <f>IFERROR(GETPIVOTDATA("valeur",VUE_KPI_FTTH!$A$7,"codeIndicateur","ii","unite","Numérateur","maille","Maille d'appréciation","type_valeur","Valeurs Brutes","OC","(vide)"),VUE_KPI_FTTH!A1)</f>
        <v>N/A</v>
      </c>
      <c r="K7" s="67" t="e">
        <f t="shared" ca="1" si="0"/>
        <v>#NAME?</v>
      </c>
    </row>
    <row r="8" spans="1:11" ht="30" customHeight="1" x14ac:dyDescent="0.25">
      <c r="A8" s="112"/>
      <c r="B8" s="5" t="s">
        <v>2</v>
      </c>
      <c r="C8" s="62" t="str">
        <f>IFERROR(GETPIVOTDATA("valeur",VUE_KPI_FTTH!$A$7,"codeIndicateur","ii","unite","Dénominateur","maille","Maille OI","type_valeur","Valeurs Nettes","OC","(vide)"),VUE_KPI_FTTH!A1)</f>
        <v>N/A</v>
      </c>
      <c r="D8" s="60">
        <f>IFERROR(GETPIVOTDATA("valeur",VUE_KPI_FTTH!$A$7,"codeIndicateur","ii","unite","Dénominateur","maille","Maille OI","type_valeur","Valeurs Brutes","OC","(vide)"),VUE_KPI_FTTH!A2)</f>
        <v>0</v>
      </c>
      <c r="E8" s="62" t="str">
        <f>IFERROR(GETPIVOTDATA("valeur",VUE_KPI_FTTH!$A$7,"codeIndicateur","ii","unite","Dénominateur","maille","Maille OI (offres commercialisées sur le marché de gros activé)","type_valeur","Valeurs Nettes","OC","(vide)"),VUE_KPI_FTTH!A1)</f>
        <v>N/A</v>
      </c>
      <c r="F8" s="62">
        <f>IFERROR(GETPIVOTDATA("valeur",VUE_KPI_FTTH!$A$7,"codeIndicateur","ii","unite","Dénominateur","maille","Maille OI (offres commercialisées sur le marché de gros activé)","type_valeur","Valeurs Brutes","OC","(vide)"),VUE_KPI_FTTH!A2)</f>
        <v>0</v>
      </c>
      <c r="G8" s="62" t="str">
        <f>IFERROR(GETPIVOTDATA("valeur",VUE_KPI_FTTH!$A$7,"codeIndicateur","ii","unite","Dénominateur","maille","Maille OI (offres commercialisées sur le marché de détail - Autofourniture)","type_valeur","Valeurs Nettes","OC","(vide)"),VUE_KPI_FTTH!A1)</f>
        <v>N/A</v>
      </c>
      <c r="H8" s="62">
        <f>IFERROR(GETPIVOTDATA("valeur",VUE_KPI_FTTH!$A$7,"codeIndicateur","ii","unite","Dénominateur","maille","Maille OI (offres commercialisées sur le marché de détail - Autofourniture)","type_valeur","Valeurs Brutes","OC","(vide)"),VUE_KPI_FTTH!A2)</f>
        <v>0</v>
      </c>
      <c r="I8" s="62" t="str">
        <f>IFERROR(GETPIVOTDATA("valeur",VUE_KPI_FTTH!$A$7,"codeIndicateur","ii","unite","Dénominateur","maille","Maille d'appréciation","type_valeur","Valeurs Nettes","OC","(vide)"),VUE_KPI_FTTH!A1)</f>
        <v>N/A</v>
      </c>
      <c r="J8" s="62" t="str">
        <f>IFERROR(GETPIVOTDATA("valeur",VUE_KPI_FTTH!$A$7,"codeIndicateur","ii","unite","Dénominateur","maille","Maille d'appréciation","type_valeur","Valeurs Brutes","OC","(vide)"),VUE_KPI_FTTH!A1)</f>
        <v>N/A</v>
      </c>
      <c r="K8" s="67" t="e">
        <f t="shared" ca="1" si="0"/>
        <v>#NAME?</v>
      </c>
    </row>
    <row r="9" spans="1:11" ht="30" customHeight="1" x14ac:dyDescent="0.25">
      <c r="A9" s="112"/>
      <c r="B9" s="5" t="s">
        <v>3</v>
      </c>
      <c r="C9" s="64" t="str">
        <f t="shared" ref="C9:J9" si="2">IF(OR(C8="",C8="N/A",C8="NC",C8="ND"),"",C7/C8)</f>
        <v/>
      </c>
      <c r="D9" s="64" t="e">
        <f t="shared" si="2"/>
        <v>#DIV/0!</v>
      </c>
      <c r="E9" s="64" t="str">
        <f t="shared" si="2"/>
        <v/>
      </c>
      <c r="F9" s="64" t="e">
        <f t="shared" si="2"/>
        <v>#DIV/0!</v>
      </c>
      <c r="G9" s="64" t="str">
        <f t="shared" si="2"/>
        <v/>
      </c>
      <c r="H9" s="64" t="e">
        <f t="shared" si="2"/>
        <v>#DIV/0!</v>
      </c>
      <c r="I9" s="64" t="str">
        <f t="shared" si="2"/>
        <v/>
      </c>
      <c r="J9" s="64" t="str">
        <f t="shared" si="2"/>
        <v/>
      </c>
      <c r="K9" s="67" t="e">
        <f t="shared" ca="1" si="0"/>
        <v>#NAME?</v>
      </c>
    </row>
    <row r="10" spans="1:11" ht="30" customHeight="1" x14ac:dyDescent="0.25">
      <c r="A10" s="111" t="s">
        <v>8</v>
      </c>
      <c r="B10" s="8" t="s">
        <v>1</v>
      </c>
      <c r="C10" s="60" t="str">
        <f>IFERROR(GETPIVOTDATA("valeur",VUE_KPI_FTTH!$A$7,"codeIndicateur","iii","unite","Numérateur","maille","Maille OI","type_valeur","Valeurs Nettes","OC","(vide)"),VUE_KPI_FTTH!A1)</f>
        <v>N/A</v>
      </c>
      <c r="D10" s="61">
        <f>IFERROR(GETPIVOTDATA("valeur",VUE_KPI_FTTH!$A$7,"codeIndicateur","iii","unite","Numérateur","maille","Maille OI","type_valeur","Valeurs Brutes","OC","(vide)"),VUE_KPI_FTTH!A2)</f>
        <v>21</v>
      </c>
      <c r="E10" s="60" t="str">
        <f>IFERROR(GETPIVOTDATA("valeur",VUE_KPI_FTTH!$A$7,"codeIndicateur","iii","unite","Numérateur","maille","Maille OI (offres commercialisées sur le marché de gros activé)","type_valeur","Valeurs Nettes","OC","(vide)"),VUE_KPI_FTTH!A1)</f>
        <v>N/A</v>
      </c>
      <c r="F10" s="61">
        <f>IFERROR(GETPIVOTDATA("valeur",VUE_KPI_FTTH!$A$7,"codeIndicateur","iii","unite","Numérateur","maille","Maille OI (offres commercialisées sur le marché de gros activé)","type_valeur","Valeurs Brutes","OC","(vide)"),VUE_KPI_FTTH!A2)</f>
        <v>0</v>
      </c>
      <c r="G10" s="60" t="str">
        <f>IFERROR(GETPIVOTDATA("valeur",VUE_KPI_FTTH!$A$7,"codeIndicateur","iii","unite","Numérateur","maille","Maille OI (offres commercialisées sur le marché de détail - Autofourniture)","type_valeur","Valeurs Nettes","OC","(vide)"),VUE_KPI_FTTH!A1)</f>
        <v>N/A</v>
      </c>
      <c r="H10" s="61">
        <f>IFERROR(GETPIVOTDATA("valeur",VUE_KPI_FTTH!$A$7,"codeIndicateur","iii","unite","Numérateur","maille","Maille OI (offres commercialisées sur le marché de détail - Autofourniture)","type_valeur","Valeurs Brutes","OC","(vide)"),VUE_KPI_FTTH!A1)</f>
        <v>21</v>
      </c>
      <c r="I10" s="60" t="str">
        <f>IFERROR(GETPIVOTDATA("valeur",VUE_KPI_FTTH!$A$7,"codeIndicateur","iii","unite","Numérateur","maille","Maille d'appréciation","type_valeur","Valeurs Nettes","OC","(vide)"),VUE_KPI_FTTH!A1)</f>
        <v>N/A</v>
      </c>
      <c r="J10" s="61" t="str">
        <f>IFERROR(GETPIVOTDATA("valeur",VUE_KPI_FTTH!$A$7,"codeIndicateur","iii","unite","Numérateur","maille","Maille d'appréciation","type_valeur","Valeurs Brutes","OC","(vide)"),VUE_KPI_FTTH!A1)</f>
        <v>N/A</v>
      </c>
      <c r="K10" s="67" t="e">
        <f t="shared" ca="1" si="0"/>
        <v>#NAME?</v>
      </c>
    </row>
    <row r="11" spans="1:11" ht="30" customHeight="1" x14ac:dyDescent="0.25">
      <c r="A11" s="112"/>
      <c r="B11" s="5" t="s">
        <v>2</v>
      </c>
      <c r="C11" s="62" t="str">
        <f>IFERROR(GETPIVOTDATA("valeur",VUE_KPI_FTTH!$A$7,"codeIndicateur","iii","unite","Dénominateur","maille","Maille OI","type_valeur","Valeurs Nettes","OC","(vide)"),VUE_KPI_FTTH!A1)</f>
        <v>N/A</v>
      </c>
      <c r="D11" s="63">
        <f>IFERROR(GETPIVOTDATA("valeur",VUE_KPI_FTTH!$A$7,"codeIndicateur","iii","unite","Dénominateur","maille","Maille OI","type_valeur","Valeurs Brutes","OC","(vide)"),VUE_KPI_FTTH!A2)</f>
        <v>736</v>
      </c>
      <c r="E11" s="62" t="str">
        <f>IFERROR(GETPIVOTDATA("valeur",VUE_KPI_FTTH!$A$7,"codeIndicateur","iii","unite","Dénominateur","maille","Maille OI (offres commercialisées sur le marché de gros activé)","type_valeur","Valeurs Nettes","OC","(vide)"),VUE_KPI_FTTH!A1)</f>
        <v>N/A</v>
      </c>
      <c r="F11" s="63">
        <f>IFERROR(GETPIVOTDATA("valeur",VUE_KPI_FTTH!$A$7,"codeIndicateur","iii","unite","Dénominateur","maille","Maille OI (offres commercialisées sur le marché de gros activé)","type_valeur","Valeurs Brutes","OC","(vide)"),VUE_KPI_FTTH!A2)</f>
        <v>0</v>
      </c>
      <c r="G11" s="62" t="str">
        <f>IFERROR(GETPIVOTDATA("valeur",VUE_KPI_FTTH!$A$7,"codeIndicateur","iii","unite","Dénominateur","maille","Maille OI (offres commercialisées sur le marché de détail - Autofourniture)","type_valeur","Valeurs Nettes","OC","(vide)"),VUE_KPI_FTTH!A1)</f>
        <v>N/A</v>
      </c>
      <c r="H11" s="63">
        <f>IFERROR(GETPIVOTDATA("valeur",VUE_KPI_FTTH!$A$7,"codeIndicateur","iii","unite","Dénominateur","maille","Maille OI (offres commercialisées sur le marché de détail - Autofourniture)","type_valeur","Valeurs Brutes","OC","(vide)"),VUE_KPI_FTTH!A1)</f>
        <v>719</v>
      </c>
      <c r="I11" s="62" t="str">
        <f>IFERROR(GETPIVOTDATA("valeur",VUE_KPI_FTTH!$A$7,"codeIndicateur","iii","unite","Dénominateur","maille","Maille d'appréciation","type_valeur","Valeurs Nettes","OC","(vide)"),VUE_KPI_FTTH!A1)</f>
        <v>N/A</v>
      </c>
      <c r="J11" s="63" t="str">
        <f>IFERROR(GETPIVOTDATA("valeur",VUE_KPI_FTTH!$A$7,"codeIndicateur","iii","unite","Dénominateur","maille","Maille d'appréciation","type_valeur","Valeurs Brutes","OC","(vide)"),VUE_KPI_FTTH!A1)</f>
        <v>N/A</v>
      </c>
      <c r="K11" s="67" t="e">
        <f t="shared" ca="1" si="0"/>
        <v>#NAME?</v>
      </c>
    </row>
    <row r="12" spans="1:11" ht="30" customHeight="1" x14ac:dyDescent="0.25">
      <c r="A12" s="112"/>
      <c r="B12" s="5" t="s">
        <v>3</v>
      </c>
      <c r="C12" s="64" t="str">
        <f t="shared" ref="C12:J12" si="3">IF(OR(C11="",C11="N/A",C11="NC",C11="ND"),"",C10/C11)</f>
        <v/>
      </c>
      <c r="D12" s="64">
        <f t="shared" si="3"/>
        <v>2.8532608695652172E-2</v>
      </c>
      <c r="E12" s="64" t="str">
        <f t="shared" si="3"/>
        <v/>
      </c>
      <c r="F12" s="64" t="e">
        <f t="shared" si="3"/>
        <v>#DIV/0!</v>
      </c>
      <c r="G12" s="64" t="str">
        <f t="shared" si="3"/>
        <v/>
      </c>
      <c r="H12" s="64">
        <f t="shared" si="3"/>
        <v>2.9207232267037551E-2</v>
      </c>
      <c r="I12" s="64" t="str">
        <f t="shared" si="3"/>
        <v/>
      </c>
      <c r="J12" s="64" t="str">
        <f t="shared" si="3"/>
        <v/>
      </c>
      <c r="K12" s="67" t="e">
        <f t="shared" ca="1" si="0"/>
        <v>#NAME?</v>
      </c>
    </row>
    <row r="13" spans="1:11" ht="30" customHeight="1" x14ac:dyDescent="0.25">
      <c r="A13" s="70" t="s">
        <v>9</v>
      </c>
      <c r="B13" s="5" t="s">
        <v>71</v>
      </c>
      <c r="C13" s="58" t="str">
        <f>IFERROR(GETPIVOTDATA("valeur",VUE_KPI_FTTH!$A$7,"codeIndicateur","iv","unite","80e centile","maille","Maille OI","type_valeur","Valeurs Nettes","OC","(vide)"),VUE_KPI_FTTH!A1)</f>
        <v>N/A</v>
      </c>
      <c r="D13" s="59">
        <f>IFERROR(GETPIVOTDATA("valeur",VUE_KPI_FTTH!$A$7,"codeIndicateur","iv","unite","80e centile","maille","Maille OI","type_valeur","Valeurs Brutes","OC","(vide)"),VUE_KPI_FTTH!A1)</f>
        <v>64.8</v>
      </c>
      <c r="E13" s="58" t="str">
        <f>IFERROR(GETPIVOTDATA("valeur",VUE_KPI_FTTH!$A$7,"codeIndicateur","iv","unite","80e centile","maille","Maille OI (offres commercialisées sur le marché de gros activé)","type_valeur","Valeurs Nettes","OC","(vide)"),VUE_KPI_FTTH!A1)</f>
        <v>N/A</v>
      </c>
      <c r="F13" s="59" t="str">
        <f>IFERROR(GETPIVOTDATA("valeur",VUE_KPI_FTTH!$A$7,"codeIndicateur","iv","unite","80e centile","maille","Maille OI (offres commercialisées sur le marché de gros activé)","type_valeur","Valeurs Brutes","OC","(vide)"),VUE_KPI_FTTH!A1)</f>
        <v>N/A</v>
      </c>
      <c r="G13" s="58" t="str">
        <f>IFERROR(GETPIVOTDATA("valeur",VUE_KPI_FTTH!$A$7,"codeIndicateur","iv","unite","80e centile","maille","Maille OI (offres commercialisées sur le marché de détail - Autofourniture)","type_valeur","Valeurs Nettes","OC","(vide)"),VUE_KPI_FTTH!A1)</f>
        <v>N/A</v>
      </c>
      <c r="H13" s="59">
        <f>IFERROR(GETPIVOTDATA("valeur",VUE_KPI_FTTH!$A$7,"codeIndicateur","iv","unite","80e centile","maille","Maille OI (offres commercialisées sur le marché de détail - Autofourniture)","type_valeur","Valeurs Brutes","OC","(vide)"),VUE_KPI_FTTH!A1)</f>
        <v>64.8</v>
      </c>
      <c r="I13" s="58" t="str">
        <f>IFERROR(GETPIVOTDATA("valeur",VUE_KPI_FTTH!$A$7,"codeIndicateur","iv","unite","80e centile","maille","Maille d'appréciation","type_valeur","Valeurs Nettes","OC","(vide)"),VUE_KPI_FTTH!A1)</f>
        <v>N/A</v>
      </c>
      <c r="J13" s="59" t="str">
        <f>IFERROR(GETPIVOTDATA("valeur",VUE_KPI_FTTH!$A$7,"codeIndicateur","iv","unite","80e centile","maille","Maille d'appréciation","type_valeur","Valeurs Brutes","OC","(vide)"),VUE_KPI_FTTH!A1)</f>
        <v>N/A</v>
      </c>
      <c r="K13" s="67" t="e">
        <f t="shared" ca="1" si="0"/>
        <v>#NAME?</v>
      </c>
    </row>
    <row r="14" spans="1:11" ht="30" customHeight="1" x14ac:dyDescent="0.25">
      <c r="A14" s="70" t="s">
        <v>10</v>
      </c>
      <c r="B14" s="5" t="s">
        <v>71</v>
      </c>
      <c r="C14" s="58" t="str">
        <f>IFERROR(GETPIVOTDATA("valeur",VUE_KPI_FTTH!$A$7,"codeIndicateur","v","unite","80e centile","maille","Maille OI","type_valeur","Valeurs Nettes","OC","(vide)"),VUE_KPI_FTTH!A1)</f>
        <v>N/A</v>
      </c>
      <c r="D14" s="59">
        <f>IFERROR(GETPIVOTDATA("valeur",VUE_KPI_FTTH!$A$7,"codeIndicateur","v","unite","80e centile","maille","Maille OI","type_valeur","Valeurs Brutes","OC","(vide)"),VUE_KPI_FTTH!A1)</f>
        <v>51</v>
      </c>
      <c r="E14" s="58" t="str">
        <f>IFERROR(GETPIVOTDATA("valeur",VUE_KPI_FTTH!$A$7,"codeIndicateur","v","unite","80e centile","maille","Maille OI (offres commercialisées sur le marché de gros activé)","type_valeur","Valeurs Nettes","OC","(vide)"),VUE_KPI_FTTH!A1)</f>
        <v>N/A</v>
      </c>
      <c r="F14" s="59" t="str">
        <f>IFERROR(GETPIVOTDATA("valeur",VUE_KPI_FTTH!$A$7,"codeIndicateur","v","unite","80e centile","maille","Maille OI (offres commercialisées sur le marché de gros activé)","type_valeur","Valeurs Brutes","OC","(vide)"),VUE_KPI_FTTH!A1)</f>
        <v>N/A</v>
      </c>
      <c r="G14" s="58" t="str">
        <f>IFERROR(GETPIVOTDATA("valeur",VUE_KPI_FTTH!$A$7,"codeIndicateur","v","unite","80e centile","maille","Maille OI (offres commercialisées sur le marché de détail - Autofourniture)","type_valeur","Valeurs Nettes","OC","(vide)"),VUE_KPI_FTTH!A1)</f>
        <v>N/A</v>
      </c>
      <c r="H14" s="59">
        <f>IFERROR(GETPIVOTDATA("valeur",VUE_KPI_FTTH!$A$7,"codeIndicateur","v","unite","80e centile","maille","Maille OI (offres commercialisées sur le marché de détail - Autofourniture)","type_valeur","Valeurs Brutes","OC","(vide)"),VUE_KPI_FTTH!A1)</f>
        <v>51</v>
      </c>
      <c r="I14" s="58" t="str">
        <f>IFERROR(GETPIVOTDATA("valeur",VUE_KPI_FTTH!$A$7,"codeIndicateur","v","unite","80e centile","maille","Maille d'appréciation","type_valeur","Valeurs Nettes","OC","(vide)"),VUE_KPI_FTTH!A1)</f>
        <v>N/A</v>
      </c>
      <c r="J14" s="59" t="str">
        <f>IFERROR(GETPIVOTDATA("valeur",VUE_KPI_FTTH!$A$7,"codeIndicateur","v","unite","80e centile","maille","Maille d'appréciation","type_valeur","Valeurs Brutes","OC","(vide)"),VUE_KPI_FTTH!A1)</f>
        <v>N/A</v>
      </c>
      <c r="K14" s="67" t="e">
        <f t="shared" ca="1" si="0"/>
        <v>#NAME?</v>
      </c>
    </row>
    <row r="15" spans="1:11" ht="30" customHeight="1" x14ac:dyDescent="0.25">
      <c r="A15" s="111" t="s">
        <v>11</v>
      </c>
      <c r="B15" s="5" t="s">
        <v>1</v>
      </c>
      <c r="C15" s="60">
        <f>IFERROR(GETPIVOTDATA("valeur",VUE_KPI_FTTH!$A$7,"codeIndicateur","vi","unite","Numérateur","maille","Maille OI","type_valeur","Valeurs Nettes","OC","(vide)"),VUE_KPI_FTTH!A2)</f>
        <v>0</v>
      </c>
      <c r="D15" s="61">
        <f>IFERROR(GETPIVOTDATA("valeur",VUE_KPI_FTTH!$A$7,"codeIndicateur","vi","unite","Numérateur","maille","Maille OI","type_valeur","Valeurs Brutes","OC","(vide)"),VUE_KPI_FTTH!A2)</f>
        <v>0</v>
      </c>
      <c r="E15" s="60" t="str">
        <f>IFERROR(GETPIVOTDATA("valeur",VUE_KPI_FTTH!$A$7,"codeIndicateur","vi","unite","Numérateur","maille","Maille OI (offres commercialisées sur le marché de gros activé)","type_valeur","Valeurs Nettes","OC","(vide)"),VUE_KPI_FTTH!A1)</f>
        <v>N/A</v>
      </c>
      <c r="F15" s="61" t="str">
        <f>IFERROR(GETPIVOTDATA("valeur",VUE_KPI_FTTH!$A$7,"codeIndicateur","vi","unite","Numérateur","maille","Maille OI (offres commercialisées sur le marché de gros activé)","type_valeur","Valeurs Brutes","OC","(vide)"),VUE_KPI_FTTH!A1)</f>
        <v>N/A</v>
      </c>
      <c r="G15" s="60" t="str">
        <f>IFERROR(GETPIVOTDATA("valeur",VUE_KPI_FTTH!$A$7,"codeIndicateur","vi","unite","Numérateur","maille","Maille OI (offres commercialisées sur le marché de détail - Autofourniture)","type_valeur","Valeurs Nettes","OC","(vide)"),VUE_KPI_FTTH!A1)</f>
        <v>N/A</v>
      </c>
      <c r="H15" s="61" t="str">
        <f>IFERROR(GETPIVOTDATA("valeur",VUE_KPI_FTTH!$A$7,"codeIndicateur","vi","unite","Numérateur","maille","Maille OI (offres commercialisées sur le marché de détail - Autofourniture)","type_valeur","Valeurs Brutes","OC","(vide)"),VUE_KPI_FTTH!A1)</f>
        <v>N/A</v>
      </c>
      <c r="I15" s="60" t="str">
        <f>IFERROR(GETPIVOTDATA("valeur",VUE_KPI_FTTH!$A$7,"codeIndicateur","vi","unite","Numérateur","maille","Maille d'appréciation","type_valeur","Valeurs Nettes","OC","(vide)"),VUE_KPI_FTTH!A1)</f>
        <v>N/A</v>
      </c>
      <c r="J15" s="61" t="str">
        <f>IFERROR(GETPIVOTDATA("valeur",VUE_KPI_FTTH!$A$7,"codeIndicateur","vi","unite","Numérateur","maille","Maille d'appréciation","type_valeur","Valeurs Brutes","OC","(vide)"),VUE_KPI_FTTH!A1)</f>
        <v>N/A</v>
      </c>
      <c r="K15" s="67" t="e">
        <f t="shared" ca="1" si="0"/>
        <v>#NAME?</v>
      </c>
    </row>
    <row r="16" spans="1:11" ht="30" customHeight="1" x14ac:dyDescent="0.25">
      <c r="A16" s="112"/>
      <c r="B16" s="5" t="s">
        <v>2</v>
      </c>
      <c r="C16" s="62">
        <f>IFERROR(GETPIVOTDATA("valeur",VUE_KPI_FTTH!$A$7,"codeIndicateur","vi","unite","Dénominateur","maille","Maille OI","type_valeur","Valeurs Nettes","OC","(vide)"),VUE_KPI_FTTH!A2)</f>
        <v>0</v>
      </c>
      <c r="D16" s="63">
        <f>IFERROR(GETPIVOTDATA("valeur",VUE_KPI_FTTH!$A$7,"codeIndicateur","vi","unite","Dénominateur","maille","Maille OI","type_valeur","Valeurs Brutes","OC","(vide)"),VUE_KPI_FTTH!A2)</f>
        <v>0</v>
      </c>
      <c r="E16" s="62" t="str">
        <f>IFERROR(GETPIVOTDATA("valeur",VUE_KPI_FTTH!$A$7,"codeIndicateur","vi","unite","Dénominateur","maille","Maille OI (offres commercialisées sur le marché de gros activé)","type_valeur","Valeurs Nettes","OC","(vide)"),VUE_KPI_FTTH!A1)</f>
        <v>N/A</v>
      </c>
      <c r="F16" s="63" t="str">
        <f>IFERROR(GETPIVOTDATA("valeur",VUE_KPI_FTTH!$A$7,"codeIndicateur","vi","unite","Dénominateur","maille","Maille OI (offres commercialisées sur le marché de gros activé)","type_valeur","Valeurs Brutes","OC","(vide)"),VUE_KPI_FTTH!A1)</f>
        <v>N/A</v>
      </c>
      <c r="G16" s="62" t="str">
        <f>IFERROR(GETPIVOTDATA("valeur",VUE_KPI_FTTH!$A$7,"codeIndicateur","vi","unite","Dénominateur","maille","Maille OI (offres commercialisées sur le marché de détail - Autofourniture)","type_valeur","Valeurs Nettes","OC","(vide)"),VUE_KPI_FTTH!A1)</f>
        <v>N/A</v>
      </c>
      <c r="H16" s="63" t="str">
        <f>IFERROR(GETPIVOTDATA("valeur",VUE_KPI_FTTH!$A$7,"codeIndicateur","vi","unite","Dénominateur","maille","Maille OI (offres commercialisées sur le marché de détail - Autofourniture)","type_valeur","Valeurs Brutes","OC","(vide)"),VUE_KPI_FTTH!A1)</f>
        <v>N/A</v>
      </c>
      <c r="I16" s="62" t="str">
        <f>IFERROR(GETPIVOTDATA("valeur",VUE_KPI_FTTH!$A$7,"codeIndicateur","vi","unite","Dénominateur","maille","Maille d'appréciation","type_valeur","Valeurs Nettes","OC","(vide)"),VUE_KPI_FTTH!A1)</f>
        <v>N/A</v>
      </c>
      <c r="J16" s="63" t="str">
        <f>IFERROR(GETPIVOTDATA("valeur",VUE_KPI_FTTH!$A$7,"codeIndicateur","vi","unite","Dénominateur","maille","Maille d'appréciation","type_valeur","Valeurs Brutes","OC","(vide)"),VUE_KPI_FTTH!A1)</f>
        <v>N/A</v>
      </c>
      <c r="K16" s="67" t="e">
        <f t="shared" ca="1" si="0"/>
        <v>#NAME?</v>
      </c>
    </row>
    <row r="17" spans="1:11" ht="30" customHeight="1" x14ac:dyDescent="0.25">
      <c r="A17" s="112"/>
      <c r="B17" s="5" t="s">
        <v>3</v>
      </c>
      <c r="C17" s="64" t="e">
        <f t="shared" ref="C17:J17" si="4">IF(OR(C16="",C16="N/A",C16="NC",C16="ND"),"",C15/C16)</f>
        <v>#DIV/0!</v>
      </c>
      <c r="D17" s="64" t="e">
        <f t="shared" si="4"/>
        <v>#DIV/0!</v>
      </c>
      <c r="E17" s="64" t="str">
        <f t="shared" si="4"/>
        <v/>
      </c>
      <c r="F17" s="64" t="str">
        <f t="shared" si="4"/>
        <v/>
      </c>
      <c r="G17" s="64" t="str">
        <f t="shared" si="4"/>
        <v/>
      </c>
      <c r="H17" s="64" t="str">
        <f t="shared" si="4"/>
        <v/>
      </c>
      <c r="I17" s="64" t="str">
        <f t="shared" si="4"/>
        <v/>
      </c>
      <c r="J17" s="64" t="str">
        <f t="shared" si="4"/>
        <v/>
      </c>
      <c r="K17" s="67" t="e">
        <f t="shared" ca="1" si="0"/>
        <v>#NAME?</v>
      </c>
    </row>
    <row r="18" spans="1:11" ht="30" customHeight="1" x14ac:dyDescent="0.25">
      <c r="A18" s="70" t="s">
        <v>12</v>
      </c>
      <c r="B18" s="5" t="s">
        <v>72</v>
      </c>
      <c r="C18" s="58" t="str">
        <f>IFERROR(GETPIVOTDATA("valeur",VUE_KPI_FTTH!$A$7,"codeIndicateur","vii","unite","95e centile","maille","Maille OI","type_valeur","Valeurs Nettes","OC","(vide)"),VUE_KPI_FTTH!A1)</f>
        <v>N/A</v>
      </c>
      <c r="D18" s="59" t="str">
        <f>IFERROR(GETPIVOTDATA("valeur",VUE_KPI_FTTH!$A$7,"codeIndicateur","vii","unite","95e centile","maille","Maille OI","type_valeur","Valeurs Brutes","OC","(vide)"),VUE_KPI_FTTH!A1)</f>
        <v>N/A</v>
      </c>
      <c r="E18" s="58" t="str">
        <f>IFERROR(GETPIVOTDATA("valeur",VUE_KPI_FTTH!$A$7,"codeIndicateur","vii","unite","95e centile","maille","Maille OI (offres commercialisées sur le marché de gros activé)","type_valeur","Valeurs Nettes","OC","(vide)"),VUE_KPI_FTTH!A1)</f>
        <v>N/A</v>
      </c>
      <c r="F18" s="59" t="str">
        <f>IFERROR(GETPIVOTDATA("valeur",VUE_KPI_FTTH!$A$7,"codeIndicateur","vii","unite","95e centile","maille","Maille OI (offres commercialisées sur le marché de gros activé)","type_valeur","Valeurs Brutes","OC","(vide)"),VUE_KPI_FTTH!A1)</f>
        <v>N/A</v>
      </c>
      <c r="G18" s="58" t="str">
        <f>IFERROR(GETPIVOTDATA("valeur",VUE_KPI_FTTH!$A$7,"codeIndicateur","vii","unite","95e centile","maille","Maille OI (offres commercialisées sur le marché de détail - Autofourniture)","type_valeur","Valeurs Nettes","OC","(vide)"),VUE_KPI_FTTH!A1)</f>
        <v>N/A</v>
      </c>
      <c r="H18" s="59" t="str">
        <f>IFERROR(GETPIVOTDATA("valeur",VUE_KPI_FTTH!$A$7,"codeIndicateur","vii","unite","95e centile","maille","Maille OI (offres commercialisées sur le marché de détail - Autofourniture)","type_valeur","Valeurs Brutes","OC","(vide)"),VUE_KPI_FTTH!A1)</f>
        <v>N/A</v>
      </c>
      <c r="I18" s="58" t="str">
        <f>IFERROR(GETPIVOTDATA("valeur",VUE_KPI_FTTH!$A$7,"codeIndicateur","vii","unite","95e centile","maille","Maille d'appréciation","type_valeur","Valeurs Nettes","OC","(vide)"),VUE_KPI_FTTH!A1)</f>
        <v>N/A</v>
      </c>
      <c r="J18" s="59" t="str">
        <f>IFERROR(GETPIVOTDATA("valeur",VUE_KPI_FTTH!$A$7,"codeIndicateur","vii","unite","95e centile","maille","Maille d'appréciation","type_valeur","Valeurs Brutes","OC","(vide)"),VUE_KPI_FTTH!A1)</f>
        <v>N/A</v>
      </c>
      <c r="K18" s="67" t="e">
        <f t="shared" ca="1" si="0"/>
        <v>#NAME?</v>
      </c>
    </row>
    <row r="19" spans="1:11" ht="30" customHeight="1" x14ac:dyDescent="0.25">
      <c r="A19" s="70" t="s">
        <v>13</v>
      </c>
      <c r="B19" s="5" t="s">
        <v>72</v>
      </c>
      <c r="C19" s="58" t="str">
        <f>IFERROR(GETPIVOTDATA("valeur",VUE_KPI_FTTH!$A$7,"codeIndicateur","viii","unite","95e centile","maille","Maille OI","type_valeur","Valeurs Nettes","OC","(vide)"),VUE_KPI_FTTH!A1)</f>
        <v>N/A</v>
      </c>
      <c r="D19" s="59" t="str">
        <f>IFERROR(GETPIVOTDATA("valeur",VUE_KPI_FTTH!$A$7,"codeIndicateur","viii","unite","95e centile","maille","Maille OI","type_valeur","Valeurs Brutes","OC","(vide)"),VUE_KPI_FTTH!A1)</f>
        <v>N/A</v>
      </c>
      <c r="E19" s="58" t="str">
        <f>IFERROR(GETPIVOTDATA("valeur",VUE_KPI_FTTH!$A$7,"codeIndicateur","viii","unite","95e centile","maille","Maille OI (offres commercialisées sur le marché de gros activé)","type_valeur","Valeurs Nettes","OC","(vide)"),VUE_KPI_FTTH!A1)</f>
        <v>N/A</v>
      </c>
      <c r="F19" s="59" t="str">
        <f>IFERROR(GETPIVOTDATA("valeur",VUE_KPI_FTTH!$A$7,"codeIndicateur","viii","unite","95e centile","maille","Maille OI (offres commercialisées sur le marché de gros activé)","type_valeur","Valeurs Brutes","OC","(vide)"),VUE_KPI_FTTH!A1)</f>
        <v>N/A</v>
      </c>
      <c r="G19" s="58">
        <f>IFERROR(GETPIVOTDATA("valeur",VUE_KPI_FTTH!$A$7,"codeIndicateur","viii","unite","95e centile","maille","Maille OI (offres commercialisées sur le marché de détail - Autofourniture)","type_valeur","Valeurs Nettes","OC","(vide)"),VUE_KPI_FTTH!A1)</f>
        <v>19</v>
      </c>
      <c r="H19" s="59">
        <f>IFERROR(GETPIVOTDATA("valeur",VUE_KPI_FTTH!$A$7,"codeIndicateur","viii","unite","95e centile","maille","Maille OI (offres commercialisées sur le marché de détail - Autofourniture)","type_valeur","Valeurs Brutes","OC","(vide)"),VUE_KPI_FTTH!A1)</f>
        <v>19</v>
      </c>
      <c r="I19" s="58" t="str">
        <f>IFERROR(GETPIVOTDATA("valeur",VUE_KPI_FTTH!$A$7,"codeIndicateur","viii","unite","95e centile","maille","Maille d'appréciation","type_valeur","Valeurs Nettes","OC","(vide)"),VUE_KPI_FTTH!A1)</f>
        <v>N/A</v>
      </c>
      <c r="J19" s="59" t="str">
        <f>IFERROR(GETPIVOTDATA("valeur",VUE_KPI_FTTH!$A$7,"codeIndicateur","viii","unite","95e centile","maille","Maille d'appréciation","type_valeur","Valeurs Brutes","OC","(vide)"),VUE_KPI_FTTH!A1)</f>
        <v>N/A</v>
      </c>
      <c r="K19" s="67" t="e">
        <f t="shared" ca="1" si="0"/>
        <v>#NAME?</v>
      </c>
    </row>
    <row r="20" spans="1:11" ht="30" customHeight="1" x14ac:dyDescent="0.25">
      <c r="A20" s="70" t="s">
        <v>14</v>
      </c>
      <c r="B20" s="5" t="s">
        <v>72</v>
      </c>
      <c r="C20" s="58" t="str">
        <f>IFERROR(GETPIVOTDATA("valeur",VUE_KPI_FTTH!$A$7,"codeIndicateur","ix","unite","95e centile","maille","Maille OI","type_valeur","Valeurs Nettes","OC","(vide)"),VUE_KPI_FTTH!A1)</f>
        <v>N/A</v>
      </c>
      <c r="D20" s="59" t="str">
        <f>IFERROR(GETPIVOTDATA("valeur",VUE_KPI_FTTH!$A$7,"codeIndicateur","ix","unite","95e centile","maille","Maille OI","type_valeur","Valeurs Brutes","OC","(vide)"),VUE_KPI_FTTH!A1)</f>
        <v>N/A</v>
      </c>
      <c r="E20" s="58" t="str">
        <f>IFERROR(GETPIVOTDATA("valeur",VUE_KPI_FTTH!$A$7,"codeIndicateur","ix","unite","95e centile","maille","Maille OI (offres commercialisées sur le marché de gros activé)","type_valeur","Valeurs Nettes","OC","(vide)"),VUE_KPI_FTTH!A1)</f>
        <v>N/A</v>
      </c>
      <c r="F20" s="59" t="str">
        <f>IFERROR(GETPIVOTDATA("valeur",VUE_KPI_FTTH!$A$7,"codeIndicateur","ix","unite","95e centile","maille","Maille OI (offres commercialisées sur le marché de gros activé)","type_valeur","Valeurs Brutes","OC","(vide)"),VUE_KPI_FTTH!A1)</f>
        <v>N/A</v>
      </c>
      <c r="G20" s="58" t="str">
        <f>IFERROR(GETPIVOTDATA("valeur",VUE_KPI_FTTH!$A$7,"codeIndicateur","ix","unite","95e centile","maille","Maille OI (offres commercialisées sur le marché de détail - Autofourniture)","type_valeur","Valeurs Nettes","OC","(vide)"),VUE_KPI_FTTH!A1)</f>
        <v>N/A</v>
      </c>
      <c r="H20" s="59" t="str">
        <f>IFERROR(GETPIVOTDATA("valeur",VUE_KPI_FTTH!$A$7,"codeIndicateur","ix","unite","95e centile","maille","Maille OI (offres commercialisées sur le marché de détail - Autofourniture)","type_valeur","Valeurs Brutes","OC","(vide)"),VUE_KPI_FTTH!A1)</f>
        <v>N/A</v>
      </c>
      <c r="I20" s="58" t="str">
        <f>IFERROR(GETPIVOTDATA("valeur",VUE_KPI_FTTH!$A$7,"codeIndicateur","ix","unite","95e centile","maille","Maille d'appréciation","type_valeur","Valeurs Nettes","OC","(vide)"),VUE_KPI_FTTH!A1)</f>
        <v>N/A</v>
      </c>
      <c r="J20" s="59" t="str">
        <f>IFERROR(GETPIVOTDATA("valeur",VUE_KPI_FTTH!$A$7,"codeIndicateur","ix","unite","95e centile","maille","Maille d'appréciation","type_valeur","Valeurs Brutes","OC","(vide)"),VUE_KPI_FTTH!A1)</f>
        <v>N/A</v>
      </c>
      <c r="K20" s="67" t="e">
        <f t="shared" ca="1" si="0"/>
        <v>#NAME?</v>
      </c>
    </row>
    <row r="21" spans="1:11" ht="30" customHeight="1" x14ac:dyDescent="0.25">
      <c r="A21" s="111" t="s">
        <v>15</v>
      </c>
      <c r="B21" s="5" t="s">
        <v>1</v>
      </c>
      <c r="C21" s="60">
        <f>IFERROR(GETPIVOTDATA("valeur",VUE_KPI_FTTH!$A$7,"codeIndicateur","x","unite","Numérateur","maille","Maille OI","type_valeur","Valeurs Nettes","OC","(vide)"),VUE_KPI_FTTH!A2)</f>
        <v>0</v>
      </c>
      <c r="D21" s="61">
        <f>IFERROR(GETPIVOTDATA("valeur",VUE_KPI_FTTH!$A$7,"codeIndicateur","x","unite","Numérateur","maille","Maille OI","type_valeur","Valeurs Brutes","OC","(vide)"),VUE_KPI_FTTH!A2)</f>
        <v>0</v>
      </c>
      <c r="E21" s="60" t="str">
        <f>IFERROR(GETPIVOTDATA("valeur",VUE_KPI_FTTH!$A$7,"codeIndicateur","x","unite","Numérateur","maille","Maille OI (offres commercialisées sur le marché de gros activé)","type_valeur","Valeurs Nettes","OC","(vide)"),VUE_KPI_FTTH!A1)</f>
        <v>N/A</v>
      </c>
      <c r="F21" s="61" t="str">
        <f>IFERROR(GETPIVOTDATA("valeur",VUE_KPI_FTTH!$A$7,"codeIndicateur","x","unite","Numérateur","maille","Maille OI (offres commercialisées sur le marché de gros activé)","type_valeur","Valeurs Brutes","OC","(vide)"),VUE_KPI_FTTH!A1)</f>
        <v>N/A</v>
      </c>
      <c r="G21" s="60">
        <f>IFERROR(GETPIVOTDATA("valeur",VUE_KPI_FTTH!$A$7,"codeIndicateur","x","unite","Numérateur","maille","Maille OI (offres commercialisées sur le marché de détail - Autofourniture)","type_valeur","Valeurs Nettes","OC","(vide)"),VUE_KPI_FTTH!A1)</f>
        <v>0</v>
      </c>
      <c r="H21" s="61">
        <f>IFERROR(GETPIVOTDATA("valeur",VUE_KPI_FTTH!$A$7,"codeIndicateur","x","unite","Numérateur","maille","Maille OI (offres commercialisées sur le marché de détail - Autofourniture)","type_valeur","Valeurs Brutes","OC","(vide)"),VUE_KPI_FTTH!A1)</f>
        <v>0</v>
      </c>
      <c r="I21" s="60" t="str">
        <f>IFERROR(GETPIVOTDATA("valeur",VUE_KPI_FTTH!$A$7,"codeIndicateur","x","unite","Numérateur","maille","Maille d'appréciation","type_valeur","Valeurs Nettes","OC","(vide)"),VUE_KPI_FTTH!A1)</f>
        <v>N/A</v>
      </c>
      <c r="J21" s="61" t="str">
        <f>IFERROR(GETPIVOTDATA("valeur",VUE_KPI_FTTH!$A$7,"codeIndicateur","x","unite","Numérateur","maille","Maille d'appréciation","type_valeur","Valeurs Brutes","OC","(vide)"),VUE_KPI_FTTH!A1)</f>
        <v>N/A</v>
      </c>
      <c r="K21" s="67" t="e">
        <f t="shared" ca="1" si="0"/>
        <v>#NAME?</v>
      </c>
    </row>
    <row r="22" spans="1:11" ht="30" customHeight="1" x14ac:dyDescent="0.25">
      <c r="A22" s="112"/>
      <c r="B22" s="5" t="s">
        <v>2</v>
      </c>
      <c r="C22" s="62">
        <f>IFERROR(GETPIVOTDATA("valeur",VUE_KPI_FTTH!$A$7,"codeIndicateur","x","unite","Dénominateur","maille","Maille OI","type_valeur","Valeurs Nettes","OC","(vide)"),VUE_KPI_FTTH!A2)</f>
        <v>0</v>
      </c>
      <c r="D22" s="63">
        <f>IFERROR(GETPIVOTDATA("valeur",VUE_KPI_FTTH!$A$7,"codeIndicateur","x","unite","Dénominateur","maille","Maille OI","type_valeur","Valeurs Brutes","OC","(vide)"),VUE_KPI_FTTH!A2)</f>
        <v>0</v>
      </c>
      <c r="E22" s="62" t="str">
        <f>IFERROR(GETPIVOTDATA("valeur",VUE_KPI_FTTH!$A$7,"codeIndicateur","x","unite","Dénominateur","maille","Maille OI (offres commercialisées sur le marché de gros activé)","type_valeur","Valeurs Nettes","OC","(vide)"),VUE_KPI_FTTH!A1)</f>
        <v>N/A</v>
      </c>
      <c r="F22" s="63" t="str">
        <f>IFERROR(GETPIVOTDATA("valeur",VUE_KPI_FTTH!$A$7,"codeIndicateur","x","unite","Dénominateur","maille","Maille OI (offres commercialisées sur le marché de gros activé)","type_valeur","Valeurs Brutes","OC","(vide)"),VUE_KPI_FTTH!A1)</f>
        <v>N/A</v>
      </c>
      <c r="G22" s="62">
        <f>IFERROR(GETPIVOTDATA("valeur",VUE_KPI_FTTH!$A$7,"codeIndicateur","x","unite","Dénominateur","maille","Maille OI (offres commercialisées sur le marché de détail - Autofourniture)","type_valeur","Valeurs Nettes","OC","(vide)"),VUE_KPI_FTTH!A1)</f>
        <v>3</v>
      </c>
      <c r="H22" s="63">
        <f>IFERROR(GETPIVOTDATA("valeur",VUE_KPI_FTTH!$A$7,"codeIndicateur","x","unite","Dénominateur","maille","Maille OI (offres commercialisées sur le marché de détail - Autofourniture)","type_valeur","Valeurs Brutes","OC","(vide)"),VUE_KPI_FTTH!A1)</f>
        <v>4</v>
      </c>
      <c r="I22" s="62" t="str">
        <f>IFERROR(GETPIVOTDATA("valeur",VUE_KPI_FTTH!$A$7,"codeIndicateur","x","unite","Dénominateur","maille","Maille d'appréciation","type_valeur","Valeurs Nettes","OC","(vide)"),VUE_KPI_FTTH!A1)</f>
        <v>N/A</v>
      </c>
      <c r="J22" s="63" t="str">
        <f>IFERROR(GETPIVOTDATA("valeur",VUE_KPI_FTTH!$A$7,"codeIndicateur","x","unite","Dénominateur","maille","Maille d'appréciation","type_valeur","Valeurs Brutes","OC","(vide)"),VUE_KPI_FTTH!A1)</f>
        <v>N/A</v>
      </c>
      <c r="K22" s="67" t="e">
        <f t="shared" ca="1" si="0"/>
        <v>#NAME?</v>
      </c>
    </row>
    <row r="23" spans="1:11" ht="30" customHeight="1" x14ac:dyDescent="0.25">
      <c r="A23" s="112"/>
      <c r="B23" s="5" t="s">
        <v>3</v>
      </c>
      <c r="C23" s="64" t="e">
        <f t="shared" ref="C23:J23" si="5">IF(OR(C22="",C22="N/A",C22="NC",C22="ND"),"",C21/C22)</f>
        <v>#DIV/0!</v>
      </c>
      <c r="D23" s="64" t="e">
        <f t="shared" si="5"/>
        <v>#DIV/0!</v>
      </c>
      <c r="E23" s="64" t="str">
        <f t="shared" si="5"/>
        <v/>
      </c>
      <c r="F23" s="64" t="str">
        <f t="shared" si="5"/>
        <v/>
      </c>
      <c r="G23" s="64">
        <f t="shared" si="5"/>
        <v>0</v>
      </c>
      <c r="H23" s="64">
        <f t="shared" si="5"/>
        <v>0</v>
      </c>
      <c r="I23" s="64" t="str">
        <f t="shared" si="5"/>
        <v/>
      </c>
      <c r="J23" s="64" t="str">
        <f t="shared" si="5"/>
        <v/>
      </c>
      <c r="K23" s="67" t="e">
        <f t="shared" ca="1" si="0"/>
        <v>#NAME?</v>
      </c>
    </row>
    <row r="24" spans="1:11" ht="19.899999999999999" customHeight="1" x14ac:dyDescent="0.25">
      <c r="A24" s="113" t="s">
        <v>5</v>
      </c>
      <c r="B24" s="114"/>
      <c r="C24" s="114"/>
      <c r="D24" s="114"/>
      <c r="E24" s="114"/>
      <c r="F24" s="114"/>
      <c r="G24" s="114"/>
      <c r="H24" s="114"/>
      <c r="I24" s="114"/>
      <c r="J24" s="115"/>
      <c r="K24" s="67" t="e">
        <f t="shared" ca="1" si="0"/>
        <v>#NAME?</v>
      </c>
    </row>
    <row r="25" spans="1:11" ht="30" customHeight="1" x14ac:dyDescent="0.25">
      <c r="A25" s="111" t="s">
        <v>16</v>
      </c>
      <c r="B25" s="5" t="s">
        <v>1</v>
      </c>
      <c r="C25" s="60" t="str">
        <f>IFERROR(GETPIVOTDATA("valeur",VUE_KPI_FTTH!$A$7,"codeIndicateur","xi","unite","Numérateur","maille","Maille OI","type_valeur","Valeurs Nettes","OC","(vide)"),VUE_KPI_FTTH!A1)</f>
        <v>N/A</v>
      </c>
      <c r="D25" s="61" t="str">
        <f>IFERROR(GETPIVOTDATA("valeur",VUE_KPI_FTTH!$A$7,"codeIndicateur","xi","unite","Numérateur","maille","Maille OI","type_valeur","Valeurs Brutes","OC","(vide)"),VUE_KPI_FTTH!A1)</f>
        <v>N/A</v>
      </c>
      <c r="E25" s="60" t="str">
        <f>IFERROR(GETPIVOTDATA("valeur",VUE_KPI_FTTH!$A$7,"codeIndicateur","xi","unite","Numérateur","maille","Maille OI (offres commercialisées sur le marché de gros activé)","type_valeur","Valeurs Nettes","OC","(vide)"),VUE_KPI_FTTH!A1)</f>
        <v>N/A</v>
      </c>
      <c r="F25" s="61" t="str">
        <f>IFERROR(GETPIVOTDATA("valeur",VUE_KPI_FTTH!$A$7,"codeIndicateur","xi","unite","Numérateur","maille","Maille OI (offres commercialisées sur le marché de gros activé)","type_valeur","Valeurs Brutes","OC","(vide)"),VUE_KPI_FTTH!A1)</f>
        <v>N/A</v>
      </c>
      <c r="G25" s="60" t="str">
        <f>IFERROR(GETPIVOTDATA("valeur",VUE_KPI_FTTH!$A$7,"codeIndicateur","xi","unite","Numérateur","maille","Maille OI (offres commercialisées sur le marché de détail - Autofourniture)","type_valeur","Valeurs Nettes","OC","(vide)"),VUE_KPI_FTTH!A1)</f>
        <v>N/A</v>
      </c>
      <c r="H25" s="61" t="str">
        <f>IFERROR(GETPIVOTDATA("valeur",VUE_KPI_FTTH!$A$7,"codeIndicateur","xi","unite","Numérateur","maille","Maille OI (offres commercialisées sur le marché de détail - Autofourniture)","type_valeur","Valeurs Brutes","OC","(vide)"),VUE_KPI_FTTH!A1)</f>
        <v>N/A</v>
      </c>
      <c r="I25" s="60" t="str">
        <f>IFERROR(GETPIVOTDATA("valeur",VUE_KPI_FTTH!$A$7,"codeIndicateur","xi","unite","Numérateur","maille","Maille d'appréciation","type_valeur","Valeurs Nettes","OC","(vide)"),VUE_KPI_FTTH!A1)</f>
        <v>N/A</v>
      </c>
      <c r="J25" s="61" t="str">
        <f>IFERROR(GETPIVOTDATA("valeur",VUE_KPI_FTTH!$A$7,"codeIndicateur","xi","unite","Numérateur","maille","Maille d'appréciation","type_valeur","Valeurs Brutes","OC","(vide)"),VUE_KPI_FTTH!A1)</f>
        <v>N/A</v>
      </c>
      <c r="K25" s="67" t="e">
        <f t="shared" ca="1" si="0"/>
        <v>#NAME?</v>
      </c>
    </row>
    <row r="26" spans="1:11" ht="30" customHeight="1" x14ac:dyDescent="0.25">
      <c r="A26" s="112"/>
      <c r="B26" s="5" t="s">
        <v>2</v>
      </c>
      <c r="C26" s="62" t="str">
        <f>IFERROR(GETPIVOTDATA("valeur",VUE_KPI_FTTH!$A$7,"codeIndicateur","xi","unite","Dénominateur","maille","Maille OI","type_valeur","Valeurs Nettes","OC","(vide)"),VUE_KPI_FTTH!A1)</f>
        <v>N/A</v>
      </c>
      <c r="D26" s="63" t="str">
        <f>IFERROR(GETPIVOTDATA("valeur",VUE_KPI_FTTH!$A$7,"codeIndicateur","xi","unite","Dénominateur","maille","Maille OI","type_valeur","Valeurs Brutes","OC","(vide)"),VUE_KPI_FTTH!A1)</f>
        <v>N/A</v>
      </c>
      <c r="E26" s="62" t="str">
        <f>IFERROR(GETPIVOTDATA("valeur",VUE_KPI_FTTH!$A$7,"codeIndicateur","xi","unite","Dénominateur","maille","Maille OI (offres commercialisées sur le marché de gros activé)","type_valeur","Valeurs Nettes","OC","(vide)"),VUE_KPI_FTTH!A1)</f>
        <v>N/A</v>
      </c>
      <c r="F26" s="63" t="str">
        <f>IFERROR(GETPIVOTDATA("valeur",VUE_KPI_FTTH!$A$7,"codeIndicateur","xi","unite","Dénominateur","maille","Maille OI (offres commercialisées sur le marché de gros activé)","type_valeur","Valeurs Brutes","OC","(vide)"),VUE_KPI_FTTH!A1)</f>
        <v>N/A</v>
      </c>
      <c r="G26" s="62" t="str">
        <f>IFERROR(GETPIVOTDATA("valeur",VUE_KPI_FTTH!$A$7,"codeIndicateur","xi","unite","Dénominateur","maille","Maille OI (offres commercialisées sur le marché de détail - Autofourniture)","type_valeur","Valeurs Nettes","OC","(vide)"),VUE_KPI_FTTH!A1)</f>
        <v>N/A</v>
      </c>
      <c r="H26" s="63" t="str">
        <f>IFERROR(GETPIVOTDATA("valeur",VUE_KPI_FTTH!$A$7,"codeIndicateur","xi","unite","Dénominateur","maille","Maille OI (offres commercialisées sur le marché de détail - Autofourniture)","type_valeur","Valeurs Brutes","OC","(vide)"),VUE_KPI_FTTH!A1)</f>
        <v>N/A</v>
      </c>
      <c r="I26" s="62" t="str">
        <f>IFERROR(GETPIVOTDATA("valeur",VUE_KPI_FTTH!$A$7,"codeIndicateur","xi","unite","Dénominateur","maille","Maille d'appréciation","type_valeur","Valeurs Nettes","OC","(vide)"),VUE_KPI_FTTH!A1)</f>
        <v>N/A</v>
      </c>
      <c r="J26" s="63" t="str">
        <f>IFERROR(GETPIVOTDATA("valeur",VUE_KPI_FTTH!$A$7,"codeIndicateur","xi","unite","Dénominateur","maille","Maille d'appréciation","type_valeur","Valeurs Brutes","OC","(vide)"),VUE_KPI_FTTH!A1)</f>
        <v>N/A</v>
      </c>
      <c r="K26" s="67" t="e">
        <f t="shared" ca="1" si="0"/>
        <v>#NAME?</v>
      </c>
    </row>
    <row r="27" spans="1:11" ht="30" customHeight="1" x14ac:dyDescent="0.25">
      <c r="A27" s="112"/>
      <c r="B27" s="5" t="s">
        <v>3</v>
      </c>
      <c r="C27" s="64" t="str">
        <f t="shared" ref="C27:J27" si="6">IF(OR(C26="",C26="N/A",C26="NC",C26="ND"),"",C25/C26)</f>
        <v/>
      </c>
      <c r="D27" s="64" t="str">
        <f t="shared" si="6"/>
        <v/>
      </c>
      <c r="E27" s="64" t="str">
        <f t="shared" si="6"/>
        <v/>
      </c>
      <c r="F27" s="64" t="str">
        <f t="shared" si="6"/>
        <v/>
      </c>
      <c r="G27" s="64" t="str">
        <f t="shared" si="6"/>
        <v/>
      </c>
      <c r="H27" s="64" t="str">
        <f t="shared" si="6"/>
        <v/>
      </c>
      <c r="I27" s="64" t="str">
        <f t="shared" si="6"/>
        <v/>
      </c>
      <c r="J27" s="64" t="str">
        <f t="shared" si="6"/>
        <v/>
      </c>
      <c r="K27" s="67" t="e">
        <f t="shared" ca="1" si="0"/>
        <v>#NAME?</v>
      </c>
    </row>
    <row r="28" spans="1:11" ht="30" customHeight="1" x14ac:dyDescent="0.25">
      <c r="A28" s="70" t="s">
        <v>17</v>
      </c>
      <c r="B28" s="5" t="s">
        <v>72</v>
      </c>
      <c r="C28" s="58" t="str">
        <f>IFERROR(GETPIVOTDATA("valeur",VUE_KPI_FTTH!$A$7,"codeIndicateur","xii","unite","95e centile","maille","Maille OI","type_valeur","Valeurs Nettes","OC","(vide)"),VUE_KPI_FTTH!A1)</f>
        <v>N/A</v>
      </c>
      <c r="D28" s="59" t="str">
        <f>IFERROR(GETPIVOTDATA("valeur",VUE_KPI_FTTH!$A$7,"codeIndicateur","xii","unite","95e centile","maille","Maille OI","type_valeur","Valeurs Brutes","OC","(vide)"),VUE_KPI_FTTH!A1)</f>
        <v>N/A</v>
      </c>
      <c r="E28" s="58" t="str">
        <f>IFERROR(GETPIVOTDATA("valeur",VUE_KPI_FTTH!$A$7,"codeIndicateur","xii","unite","95e centile","maille","Maille OI (offres commercialisées sur le marché de gros activé)","type_valeur","Valeurs Nettes","OC","(vide)"),VUE_KPI_FTTH!A1)</f>
        <v>N/A</v>
      </c>
      <c r="F28" s="59" t="str">
        <f>IFERROR(GETPIVOTDATA("valeur",VUE_KPI_FTTH!$A$7,"codeIndicateur","xii","unite","95e centile","maille","Maille OI (offres commercialisées sur le marché de gros activé)","type_valeur","Valeurs Brutes","OC","(vide)"),VUE_KPI_FTTH!A1)</f>
        <v>N/A</v>
      </c>
      <c r="G28" s="58" t="str">
        <f>IFERROR(GETPIVOTDATA("valeur",VUE_KPI_FTTH!$A$7,"codeIndicateur","xii","unite","95e centile","maille","Maille OI (offres commercialisées sur le marché de détail - Autofourniture)","type_valeur","Valeurs Nettes","OC","(vide)"),VUE_KPI_FTTH!A1)</f>
        <v>N/A</v>
      </c>
      <c r="H28" s="59" t="str">
        <f>IFERROR(GETPIVOTDATA("valeur",VUE_KPI_FTTH!$A$7,"codeIndicateur","xii","unite","95e centile","maille","Maille OI (offres commercialisées sur le marché de détail - Autofourniture)","type_valeur","Valeurs Brutes","OC","(vide)"),VUE_KPI_FTTH!A1)</f>
        <v>N/A</v>
      </c>
      <c r="I28" s="58" t="str">
        <f>IFERROR(GETPIVOTDATA("valeur",VUE_KPI_FTTH!$A$7,"codeIndicateur","xii","unite","95e centile","maille","Maille d'appréciation","type_valeur","Valeurs Nettes","OC","(vide)"),VUE_KPI_FTTH!A1)</f>
        <v>N/A</v>
      </c>
      <c r="J28" s="59" t="str">
        <f>IFERROR(GETPIVOTDATA("valeur",VUE_KPI_FTTH!$A$7,"codeIndicateur","xii","unite","95e centile","maille","Maille d'appréciation","type_valeur","Valeurs Brutes","OC","(vide)"),VUE_KPI_FTTH!A1)</f>
        <v>N/A</v>
      </c>
      <c r="K28" s="67" t="e">
        <f t="shared" ca="1" si="0"/>
        <v>#NAME?</v>
      </c>
    </row>
    <row r="29" spans="1:11" ht="30" customHeight="1" x14ac:dyDescent="0.25">
      <c r="A29" s="111" t="s">
        <v>18</v>
      </c>
      <c r="B29" s="5" t="s">
        <v>1</v>
      </c>
      <c r="C29" s="60">
        <f>IFERROR(GETPIVOTDATA("valeur",VUE_KPI_FTTH!$A$7,"codeIndicateur","xiii","unite","Numérateur","maille","Maille OI","type_valeur","Valeurs Nettes","OC","(vide)"),VUE_KPI_FTTH!A1)</f>
        <v>0</v>
      </c>
      <c r="D29" s="61">
        <f>IFERROR(GETPIVOTDATA("valeur",VUE_KPI_FTTH!$A$7,"codeIndicateur","xiii","unite","Numérateur","maille","Maille OI","type_valeur","Valeurs Brutes","OC","(vide)"),VUE_KPI_FTTH!A1)</f>
        <v>0</v>
      </c>
      <c r="E29" s="60" t="str">
        <f>IFERROR(GETPIVOTDATA("valeur",VUE_KPI_FTTH!$A$7,"codeIndicateur","xiii","unite","Numérateur","maille","Maille OI (offres commercialisées sur le marché de gros activé)","type_valeur","Valeurs Nettes","OC","(vide)"),VUE_KPI_FTTH!A1)</f>
        <v>N/A</v>
      </c>
      <c r="F29" s="61" t="str">
        <f>IFERROR(GETPIVOTDATA("valeur",VUE_KPI_FTTH!$A$7,"codeIndicateur","xiii","unite","Numérateur","maille","Maille OI (offres commercialisées sur le marché de gros activé)","type_valeur","Valeurs Brutes","OC","(vide)"),VUE_KPI_FTTH!A1)</f>
        <v>N/A</v>
      </c>
      <c r="G29" s="60">
        <f>IFERROR(GETPIVOTDATA("valeur",VUE_KPI_FTTH!$A$7,"codeIndicateur","xiii","unite","Numérateur","maille","Maille OI (offres commercialisées sur le marché de détail - Autofourniture)","type_valeur","Valeurs Nettes","OC","(vide)"),VUE_KPI_FTTH!A1)</f>
        <v>0</v>
      </c>
      <c r="H29" s="61">
        <f>IFERROR(GETPIVOTDATA("valeur",VUE_KPI_FTTH!$A$7,"codeIndicateur","xiii","unite","Numérateur","maille","Maille OI (offres commercialisées sur le marché de détail - Autofourniture)","type_valeur","Valeurs Brutes","OC","(vide)"),VUE_KPI_FTTH!A1)</f>
        <v>0</v>
      </c>
      <c r="I29" s="60" t="str">
        <f>IFERROR(GETPIVOTDATA("valeur",VUE_KPI_FTTH!$A$7,"codeIndicateur","xiii","unite","Numérateur","maille","Maille d'appréciation","type_valeur","Valeurs Nettes","OC","(vide)"),VUE_KPI_FTTH!A1)</f>
        <v>N/A</v>
      </c>
      <c r="J29" s="61" t="str">
        <f>IFERROR(GETPIVOTDATA("valeur",VUE_KPI_FTTH!$A$7,"codeIndicateur","xiii","unite","Numérateur","maille","Maille d'appréciation","type_valeur","Valeurs Brutes","OC","(vide)"),VUE_KPI_FTTH!A1)</f>
        <v>N/A</v>
      </c>
      <c r="K29" s="67" t="e">
        <f t="shared" ca="1" si="0"/>
        <v>#NAME?</v>
      </c>
    </row>
    <row r="30" spans="1:11" ht="30" customHeight="1" x14ac:dyDescent="0.25">
      <c r="A30" s="112"/>
      <c r="B30" s="5" t="s">
        <v>2</v>
      </c>
      <c r="C30" s="62">
        <f>IFERROR(GETPIVOTDATA("valeur",VUE_KPI_FTTH!$A$7,"codeIndicateur","xiii","unite","Dénominateur","maille","Maille OI","type_valeur","Valeurs Nettes","OC","(vide)"),VUE_KPI_FTTH!A1)</f>
        <v>4</v>
      </c>
      <c r="D30" s="63">
        <f>IFERROR(GETPIVOTDATA("valeur",VUE_KPI_FTTH!$A$7,"codeIndicateur","xiii","unite","Dénominateur","maille","Maille OI","type_valeur","Valeurs Brutes","OC","(vide)"),VUE_KPI_FTTH!A1)</f>
        <v>4</v>
      </c>
      <c r="E30" s="62" t="str">
        <f>IFERROR(GETPIVOTDATA("valeur",VUE_KPI_FTTH!$A$7,"codeIndicateur","xiii","unite","Dénominateur","maille","Maille OI (offres commercialisées sur le marché de gros activé)","type_valeur","Valeurs Nettes","OC","(vide)"),VUE_KPI_FTTH!A1)</f>
        <v>N/A</v>
      </c>
      <c r="F30" s="63" t="str">
        <f>IFERROR(GETPIVOTDATA("valeur",VUE_KPI_FTTH!$A$7,"codeIndicateur","xiii","unite","Dénominateur","maille","Maille OI (offres commercialisées sur le marché de gros activé)","type_valeur","Valeurs Brutes","OC","(vide)"),VUE_KPI_FTTH!A1)</f>
        <v>N/A</v>
      </c>
      <c r="G30" s="62">
        <f>IFERROR(GETPIVOTDATA("valeur",VUE_KPI_FTTH!$A$7,"codeIndicateur","xiii","unite","Dénominateur","maille","Maille OI (offres commercialisées sur le marché de détail - Autofourniture)","type_valeur","Valeurs Nettes","OC","(vide)"),VUE_KPI_FTTH!A1)</f>
        <v>4</v>
      </c>
      <c r="H30" s="63">
        <f>IFERROR(GETPIVOTDATA("valeur",VUE_KPI_FTTH!$A$7,"codeIndicateur","xiii","unite","Dénominateur","maille","Maille OI (offres commercialisées sur le marché de détail - Autofourniture)","type_valeur","Valeurs Brutes","OC","(vide)"),VUE_KPI_FTTH!A1)</f>
        <v>4</v>
      </c>
      <c r="I30" s="62" t="str">
        <f>IFERROR(GETPIVOTDATA("valeur",VUE_KPI_FTTH!$A$7,"codeIndicateur","xiii","unite","Dénominateur","maille","Maille d'appréciation","type_valeur","Valeurs Nettes","OC","(vide)"),VUE_KPI_FTTH!A1)</f>
        <v>N/A</v>
      </c>
      <c r="J30" s="63" t="str">
        <f>IFERROR(GETPIVOTDATA("valeur",VUE_KPI_FTTH!$A$7,"codeIndicateur","xiii","unite","Dénominateur","maille","Maille d'appréciation","type_valeur","Valeurs Brutes","OC","(vide)"),VUE_KPI_FTTH!A1)</f>
        <v>N/A</v>
      </c>
      <c r="K30" s="67" t="e">
        <f t="shared" ca="1" si="0"/>
        <v>#NAME?</v>
      </c>
    </row>
    <row r="31" spans="1:11" ht="30" customHeight="1" x14ac:dyDescent="0.25">
      <c r="A31" s="112"/>
      <c r="B31" s="5" t="s">
        <v>3</v>
      </c>
      <c r="C31" s="64">
        <f t="shared" ref="C31:J31" si="7">IF(OR(C30="",C30="N/A",C30="NC",C30="ND"),"",C29/C30)</f>
        <v>0</v>
      </c>
      <c r="D31" s="64">
        <f t="shared" si="7"/>
        <v>0</v>
      </c>
      <c r="E31" s="64" t="str">
        <f t="shared" si="7"/>
        <v/>
      </c>
      <c r="F31" s="64" t="str">
        <f t="shared" si="7"/>
        <v/>
      </c>
      <c r="G31" s="64">
        <f t="shared" si="7"/>
        <v>0</v>
      </c>
      <c r="H31" s="64">
        <f t="shared" si="7"/>
        <v>0</v>
      </c>
      <c r="I31" s="64" t="str">
        <f t="shared" si="7"/>
        <v/>
      </c>
      <c r="J31" s="64" t="str">
        <f t="shared" si="7"/>
        <v/>
      </c>
      <c r="K31" s="67" t="e">
        <f t="shared" ca="1" si="0"/>
        <v>#NAME?</v>
      </c>
    </row>
    <row r="32" spans="1:11" ht="30" customHeight="1" x14ac:dyDescent="0.25">
      <c r="A32" s="70" t="s">
        <v>19</v>
      </c>
      <c r="B32" s="5" t="s">
        <v>72</v>
      </c>
      <c r="C32" s="58">
        <f>IFERROR(GETPIVOTDATA("valeur",VUE_KPI_FTTH!$A$7,"codeIndicateur","xiv","unite","95e centile","maille","Maille OI","type_valeur","Valeurs Nettes","OC","(vide)"),VUE_KPI_FTTH!A1)</f>
        <v>8.82</v>
      </c>
      <c r="D32" s="59">
        <f>IFERROR(GETPIVOTDATA("valeur",VUE_KPI_FTTH!$A$7,"codeIndicateur","xiv","unite","95e centile","maille","Maille OI","type_valeur","Valeurs Brutes","OC","(vide)"),VUE_KPI_FTTH!A1)</f>
        <v>8.82</v>
      </c>
      <c r="E32" s="58" t="str">
        <f>IFERROR(GETPIVOTDATA("valeur",VUE_KPI_FTTH!$A$7,"codeIndicateur","xiv","unite","95e centile","maille","Maille OI (offres commercialisées sur le marché de gros activé)","type_valeur","Valeurs Nettes","OC","(vide)"),VUE_KPI_FTTH!A1)</f>
        <v>N/A</v>
      </c>
      <c r="F32" s="59" t="str">
        <f>IFERROR(GETPIVOTDATA("valeur",VUE_KPI_FTTH!$A$7,"codeIndicateur","xiv","unite","95e centile","maille","Maille OI (offres commercialisées sur le marché de gros activé)","type_valeur","Valeurs Brutes","OC","(vide)"),VUE_KPI_FTTH!A1)</f>
        <v>N/A</v>
      </c>
      <c r="G32" s="58">
        <f>IFERROR(GETPIVOTDATA("valeur",VUE_KPI_FTTH!$A$7,"codeIndicateur","xiv","unite","95e centile","maille","Maille OI (offres commercialisées sur le marché de détail - Autofourniture)","type_valeur","Valeurs Nettes","OC","(vide)"),VUE_KPI_FTTH!A1)</f>
        <v>8.82</v>
      </c>
      <c r="H32" s="59">
        <f>IFERROR(GETPIVOTDATA("valeur",VUE_KPI_FTTH!$A$7,"codeIndicateur","xiv","unite","95e centile","maille","Maille OI (offres commercialisées sur le marché de détail - Autofourniture)","type_valeur","Valeurs Brutes","OC","(vide)"),VUE_KPI_FTTH!A1)</f>
        <v>8.82</v>
      </c>
      <c r="I32" s="58" t="str">
        <f>IFERROR(GETPIVOTDATA("valeur",VUE_KPI_FTTH!$A$7,"codeIndicateur","xiv","unite","95e centile","maille","Maille d'appréciation","type_valeur","Valeurs Nettes","OC","(vide)"),VUE_KPI_FTTH!A1)</f>
        <v>N/A</v>
      </c>
      <c r="J32" s="59" t="str">
        <f>IFERROR(GETPIVOTDATA("valeur",VUE_KPI_FTTH!$A$7,"codeIndicateur","xiv","unite","95e centile","maille","Maille d'appréciation","type_valeur","Valeurs Brutes","OC","(vide)"),VUE_KPI_FTTH!A1)</f>
        <v>N/A</v>
      </c>
      <c r="K32" s="67" t="e">
        <f t="shared" ca="1" si="0"/>
        <v>#NAME?</v>
      </c>
    </row>
    <row r="33" spans="1:11" ht="30" customHeight="1" x14ac:dyDescent="0.25">
      <c r="A33" s="111" t="s">
        <v>20</v>
      </c>
      <c r="B33" s="5" t="s">
        <v>1</v>
      </c>
      <c r="C33" s="60" t="str">
        <f>IFERROR(GETPIVOTDATA("valeur",VUE_KPI_FTTH!$A$7,"codeIndicateur","xv","unite","Numérateur","maille","Maille OI","type_valeur","Valeurs Nettes","OC","(vide)"),VUE_KPI_FTTH!A1)</f>
        <v>N/A</v>
      </c>
      <c r="D33" s="61" t="str">
        <f>IFERROR(GETPIVOTDATA("valeur",VUE_KPI_FTTH!$A$7,"codeIndicateur","xv","unite","Numérateur","maille","Maille OI","type_valeur","Valeurs Brutes","OC","(vide)"),VUE_KPI_FTTH!A1)</f>
        <v>N/A</v>
      </c>
      <c r="E33" s="60" t="str">
        <f>IFERROR(GETPIVOTDATA("valeur",VUE_KPI_FTTH!$A$7,"codeIndicateur","xv","unite","Numérateur","maille","Maille OI (offres commercialisées sur le marché de gros activé)","type_valeur","Valeurs Nettes","OC","(vide)"),VUE_KPI_FTTH!A1)</f>
        <v>N/A</v>
      </c>
      <c r="F33" s="61" t="str">
        <f>IFERROR(GETPIVOTDATA("valeur",VUE_KPI_FTTH!$A$7,"codeIndicateur","xv","unite","Numérateur","maille","Maille OI (offres commercialisées sur le marché de gros activé)","type_valeur","Valeurs Brutes","OC","(vide)"),VUE_KPI_FTTH!A1)</f>
        <v>N/A</v>
      </c>
      <c r="G33" s="60" t="str">
        <f>IFERROR(GETPIVOTDATA("valeur",VUE_KPI_FTTH!$A$7,"codeIndicateur","xv","unite","Numérateur","maille","Maille OI (offres commercialisées sur le marché de détail - Autofourniture)","type_valeur","Valeurs Nettes","OC","(vide)"),VUE_KPI_FTTH!A1)</f>
        <v>N/A</v>
      </c>
      <c r="H33" s="61" t="str">
        <f>IFERROR(GETPIVOTDATA("valeur",VUE_KPI_FTTH!$A$7,"codeIndicateur","xv","unite","Numérateur","maille","Maille OI (offres commercialisées sur le marché de détail - Autofourniture)","type_valeur","Valeurs Brutes","OC","(vide)"),VUE_KPI_FTTH!A1)</f>
        <v>N/A</v>
      </c>
      <c r="I33" s="60" t="str">
        <f>IFERROR(GETPIVOTDATA("valeur",VUE_KPI_FTTH!$A$7,"codeIndicateur","xv","unite","Numérateur","maille","Maille d'appréciation","type_valeur","Valeurs Nettes","OC","(vide)"),VUE_KPI_FTTH!A1)</f>
        <v>N/A</v>
      </c>
      <c r="J33" s="61" t="str">
        <f>IFERROR(GETPIVOTDATA("valeur",VUE_KPI_FTTH!$A$7,"codeIndicateur","xv","unite","Numérateur","maille","Maille d'appréciation","type_valeur","Valeurs Brutes","OC","(vide)"),VUE_KPI_FTTH!A1)</f>
        <v>N/A</v>
      </c>
      <c r="K33" s="67" t="e">
        <f t="shared" ca="1" si="0"/>
        <v>#NAME?</v>
      </c>
    </row>
    <row r="34" spans="1:11" ht="30" customHeight="1" x14ac:dyDescent="0.25">
      <c r="A34" s="112"/>
      <c r="B34" s="5" t="s">
        <v>2</v>
      </c>
      <c r="C34" s="62" t="str">
        <f>IFERROR(GETPIVOTDATA("valeur",VUE_KPI_FTTH!$A$7,"codeIndicateur","xv","unite","Dénominateur","maille","Maille OI","type_valeur","Valeurs Nettes","OC","(vide)"),VUE_KPI_FTTH!A1)</f>
        <v>N/A</v>
      </c>
      <c r="D34" s="63" t="str">
        <f>IFERROR(GETPIVOTDATA("valeur",VUE_KPI_FTTH!$A$7,"codeIndicateur","xv","unite","Dénominateur","maille","Maille OI","type_valeur","Valeurs Brutes","OC","(vide)"),VUE_KPI_FTTH!A1)</f>
        <v>N/A</v>
      </c>
      <c r="E34" s="62" t="str">
        <f>IFERROR(GETPIVOTDATA("valeur",VUE_KPI_FTTH!$A$7,"codeIndicateur","xv","unite","Dénominateur","maille","Maille OI (offres commercialisées sur le marché de gros activé)","type_valeur","Valeurs Nettes","OC","(vide)"),VUE_KPI_FTTH!A1)</f>
        <v>N/A</v>
      </c>
      <c r="F34" s="63" t="str">
        <f>IFERROR(GETPIVOTDATA("valeur",VUE_KPI_FTTH!$A$7,"codeIndicateur","xv","unite","Dénominateur","maille","Maille OI (offres commercialisées sur le marché de gros activé)","type_valeur","Valeurs Brutes","OC","(vide)"),VUE_KPI_FTTH!A1)</f>
        <v>N/A</v>
      </c>
      <c r="G34" s="62" t="str">
        <f>IFERROR(GETPIVOTDATA("valeur",VUE_KPI_FTTH!$A$7,"codeIndicateur","xv","unite","Dénominateur","maille","Maille OI (offres commercialisées sur le marché de détail - Autofourniture)","type_valeur","Valeurs Nettes","OC","(vide)"),VUE_KPI_FTTH!A1)</f>
        <v>N/A</v>
      </c>
      <c r="H34" s="63" t="str">
        <f>IFERROR(GETPIVOTDATA("valeur",VUE_KPI_FTTH!$A$7,"codeIndicateur","xv","unite","Dénominateur","maille","Maille OI (offres commercialisées sur le marché de détail - Autofourniture)","type_valeur","Valeurs Brutes","OC","(vide)"),VUE_KPI_FTTH!A1)</f>
        <v>N/A</v>
      </c>
      <c r="I34" s="62" t="str">
        <f>IFERROR(GETPIVOTDATA("valeur",VUE_KPI_FTTH!$A$7,"codeIndicateur","xv","unite","Dénominateur","maille","Maille d'appréciation","type_valeur","Valeurs Nettes","OC","(vide)"),VUE_KPI_FTTH!A1)</f>
        <v>N/A</v>
      </c>
      <c r="J34" s="63" t="str">
        <f>IFERROR(GETPIVOTDATA("valeur",VUE_KPI_FTTH!$A$7,"codeIndicateur","xv","unite","Dénominateur","maille","Maille d'appréciation","type_valeur","Valeurs Brutes","OC","(vide)"),VUE_KPI_FTTH!A1)</f>
        <v>N/A</v>
      </c>
      <c r="K34" s="67" t="e">
        <f t="shared" ca="1" si="0"/>
        <v>#NAME?</v>
      </c>
    </row>
    <row r="35" spans="1:11" ht="30" customHeight="1" x14ac:dyDescent="0.25">
      <c r="A35" s="112"/>
      <c r="B35" s="5" t="s">
        <v>3</v>
      </c>
      <c r="C35" s="64" t="str">
        <f t="shared" ref="C35:J35" si="8">IF(OR(C34="",C34="N/A",C34="NC",C34="ND"),"",C33/C34)</f>
        <v/>
      </c>
      <c r="D35" s="64" t="str">
        <f t="shared" si="8"/>
        <v/>
      </c>
      <c r="E35" s="64" t="str">
        <f t="shared" si="8"/>
        <v/>
      </c>
      <c r="F35" s="64" t="str">
        <f t="shared" si="8"/>
        <v/>
      </c>
      <c r="G35" s="64" t="str">
        <f t="shared" si="8"/>
        <v/>
      </c>
      <c r="H35" s="64" t="str">
        <f t="shared" si="8"/>
        <v/>
      </c>
      <c r="I35" s="64" t="str">
        <f t="shared" si="8"/>
        <v/>
      </c>
      <c r="J35" s="64" t="str">
        <f t="shared" si="8"/>
        <v/>
      </c>
      <c r="K35" s="67" t="e">
        <f t="shared" ca="1" si="0"/>
        <v>#NAME?</v>
      </c>
    </row>
    <row r="36" spans="1:11" ht="30" customHeight="1" x14ac:dyDescent="0.25">
      <c r="A36" s="70" t="s">
        <v>21</v>
      </c>
      <c r="B36" s="5" t="s">
        <v>73</v>
      </c>
      <c r="C36" s="58" t="str">
        <f>IFERROR(GETPIVOTDATA("valeur",VUE_KPI_FTTH!$A$7,"codeIndicateur","xvi","unite","Délai moyen","maille","Maille OI","type_valeur","Valeurs Nettes","OC","(vide)"),VUE_KPI_FTTH!A1)</f>
        <v>N/A</v>
      </c>
      <c r="D36" s="59" t="str">
        <f>IFERROR(GETPIVOTDATA("valeur",VUE_KPI_FTTH!$A$7,"codeIndicateur","xvi","unite","Délai moyen","maille","Maille OI","type_valeur","Valeurs Brutes","OC","(vide)"),VUE_KPI_FTTH!A1)</f>
        <v>N/A</v>
      </c>
      <c r="E36" s="58" t="str">
        <f>IFERROR(GETPIVOTDATA("valeur",VUE_KPI_FTTH!$A$7,"codeIndicateur","xvi","unite","Délai moyen","maille","Maille OI (offres commercialisées sur le marché de gros activé)","type_valeur","Valeurs Nettes","OC","(vide)"),VUE_KPI_FTTH!A1)</f>
        <v>N/A</v>
      </c>
      <c r="F36" s="59" t="str">
        <f>IFERROR(GETPIVOTDATA("valeur",VUE_KPI_FTTH!$A$7,"codeIndicateur","xvi","unite","Délai moyen","maille","Maille OI (offres commercialisées sur le marché de gros activé)","type_valeur","Valeurs Brutes","OC","(vide)"),VUE_KPI_FTTH!A1)</f>
        <v>N/A</v>
      </c>
      <c r="G36" s="58" t="str">
        <f>IFERROR(GETPIVOTDATA("valeur",VUE_KPI_FTTH!$A$7,"codeIndicateur","xvi","unite","Délai moyen","maille","Maille OI (offres commercialisées sur le marché de détail - Autofourniture)","type_valeur","Valeurs Nettes","OC","(vide)"),VUE_KPI_FTTH!A1)</f>
        <v>N/A</v>
      </c>
      <c r="H36" s="59" t="str">
        <f>IFERROR(GETPIVOTDATA("valeur",VUE_KPI_FTTH!$A$7,"codeIndicateur","xvi","unite","Délai moyen","maille","Maille OI (offres commercialisées sur le marché de détail - Autofourniture)","type_valeur","Valeurs Brutes","OC","(vide)"),VUE_KPI_FTTH!A1)</f>
        <v>N/A</v>
      </c>
      <c r="I36" s="58" t="str">
        <f>IFERROR(GETPIVOTDATA("valeur",VUE_KPI_FTTH!$A$7,"codeIndicateur","xvi","unite","Délai moyen","maille","Maille d'appréciation","type_valeur","Valeurs Nettes","OC","(vide)"),VUE_KPI_FTTH!A1)</f>
        <v>N/A</v>
      </c>
      <c r="J36" s="59" t="str">
        <f>IFERROR(GETPIVOTDATA("valeur",VUE_KPI_FTTH!$A$7,"codeIndicateur","xvi","unite","Délai moyen","maille","Maille d'appréciation","type_valeur","Valeurs Brutes","OC","(vide)"),VUE_KPI_FTTH!A1)</f>
        <v>N/A</v>
      </c>
      <c r="K36" s="67" t="e">
        <f t="shared" ca="1" si="0"/>
        <v>#NAME?</v>
      </c>
    </row>
    <row r="37" spans="1:11" ht="30" customHeight="1" x14ac:dyDescent="0.25">
      <c r="A37" s="111" t="s">
        <v>22</v>
      </c>
      <c r="B37" s="5" t="s">
        <v>1</v>
      </c>
      <c r="C37" s="60">
        <f>IFERROR(GETPIVOTDATA("valeur",VUE_KPI_FTTH!$A$7,"codeIndicateur","xvii","unite","Numérateur","maille","Maille OI","type_valeur","Valeurs Nettes","OC","(vide)"),VUE_KPI_FTTH!A1)</f>
        <v>5</v>
      </c>
      <c r="D37" s="61">
        <f>IFERROR(GETPIVOTDATA("valeur",VUE_KPI_FTTH!$A$7,"codeIndicateur","xvii","unite","Numérateur","maille","Maille OI","type_valeur","Valeurs Brutes","OC","(vide)"),VUE_KPI_FTTH!A1)</f>
        <v>5</v>
      </c>
      <c r="E37" s="60" t="str">
        <f>IFERROR(GETPIVOTDATA("valeur",VUE_KPI_FTTH!$A$7,"codeIndicateur","xvii","unite","Numérateur","maille","Maille OI (offres commercialisées sur le marché de gros activé)","type_valeur","Valeurs Nettes","OC","(vide)"),VUE_KPI_FTTH!A1)</f>
        <v>N/A</v>
      </c>
      <c r="F37" s="61" t="str">
        <f>IFERROR(GETPIVOTDATA("valeur",VUE_KPI_FTTH!$A$7,"codeIndicateur","xvii","unite","Numérateur","maille","Maille OI (offres commercialisées sur le marché de gros activé)","type_valeur","Valeurs Brutes","OC","(vide)"),VUE_KPI_FTTH!A1)</f>
        <v>N/A</v>
      </c>
      <c r="G37" s="60">
        <f>IFERROR(GETPIVOTDATA("valeur",VUE_KPI_FTTH!$A$7,"codeIndicateur","xvii","unite","Numérateur","maille","Maille OI (offres commercialisées sur le marché de détail - Autofourniture)","type_valeur","Valeurs Nettes","OC","(vide)"),VUE_KPI_FTTH!A1)</f>
        <v>5</v>
      </c>
      <c r="H37" s="61">
        <f>IFERROR(GETPIVOTDATA("valeur",VUE_KPI_FTTH!$A$7,"codeIndicateur","xvii","unite","Numérateur","maille","Maille OI (offres commercialisées sur le marché de détail - Autofourniture)","type_valeur","Valeurs Brutes","OC","(vide)"),VUE_KPI_FTTH!A1)</f>
        <v>5</v>
      </c>
      <c r="I37" s="60" t="str">
        <f>IFERROR(GETPIVOTDATA("valeur",VUE_KPI_FTTH!$A$7,"codeIndicateur","xvii","unite","Numérateur","maille","Maille d'appréciation","type_valeur","Valeurs Nettes","OC","(vide)"),VUE_KPI_FTTH!A1)</f>
        <v>N/A</v>
      </c>
      <c r="J37" s="61" t="str">
        <f>IFERROR(GETPIVOTDATA("valeur",VUE_KPI_FTTH!$A$7,"codeIndicateur","xvii","unite","Numérateur","maille","Maille d'appréciation","type_valeur","Valeurs Brutes","OC","(vide)"),VUE_KPI_FTTH!A1)</f>
        <v>N/A</v>
      </c>
      <c r="K37" s="67" t="e">
        <f t="shared" ca="1" si="0"/>
        <v>#NAME?</v>
      </c>
    </row>
    <row r="38" spans="1:11" ht="30" customHeight="1" x14ac:dyDescent="0.25">
      <c r="A38" s="112"/>
      <c r="B38" s="5" t="s">
        <v>2</v>
      </c>
      <c r="C38" s="62">
        <f>IFERROR(GETPIVOTDATA("valeur",VUE_KPI_FTTH!$A$7,"codeIndicateur","xvii","unite","Dénominateur","maille","Maille OI","type_valeur","Valeurs Nettes","OC","(vide)"),VUE_KPI_FTTH!A1)</f>
        <v>9841</v>
      </c>
      <c r="D38" s="63">
        <f>IFERROR(GETPIVOTDATA("valeur",VUE_KPI_FTTH!$A$7,"codeIndicateur","xvii","unite","Dénominateur","maille","Maille OI","type_valeur","Valeurs Brutes","OC","(vide)"),VUE_KPI_FTTH!A1)</f>
        <v>9841</v>
      </c>
      <c r="E38" s="62" t="str">
        <f>IFERROR(GETPIVOTDATA("valeur",VUE_KPI_FTTH!$A$7,"codeIndicateur","xvii","unite","Dénominateur","maille","Maille OI (offres commercialisées sur le marché de gros activé)","type_valeur","Valeurs Nettes","OC","(vide)"),VUE_KPI_FTTH!A1)</f>
        <v>N/A</v>
      </c>
      <c r="F38" s="63" t="str">
        <f>IFERROR(GETPIVOTDATA("valeur",VUE_KPI_FTTH!$A$7,"codeIndicateur","xvii","unite","Dénominateur","maille","Maille OI (offres commercialisées sur le marché de gros activé)","type_valeur","Valeurs Brutes","OC","(vide)"),VUE_KPI_FTTH!A1)</f>
        <v>N/A</v>
      </c>
      <c r="G38" s="62">
        <f>IFERROR(GETPIVOTDATA("valeur",VUE_KPI_FTTH!$A$7,"codeIndicateur","xvii","unite","Dénominateur","maille","Maille OI (offres commercialisées sur le marché de détail - Autofourniture)","type_valeur","Valeurs Nettes","OC","(vide)"),VUE_KPI_FTTH!A1)</f>
        <v>9698</v>
      </c>
      <c r="H38" s="63">
        <f>IFERROR(GETPIVOTDATA("valeur",VUE_KPI_FTTH!$A$7,"codeIndicateur","xvii","unite","Dénominateur","maille","Maille OI (offres commercialisées sur le marché de détail - Autofourniture)","type_valeur","Valeurs Brutes","OC","(vide)"),VUE_KPI_FTTH!A1)</f>
        <v>9698</v>
      </c>
      <c r="I38" s="62" t="str">
        <f>IFERROR(GETPIVOTDATA("valeur",VUE_KPI_FTTH!$A$7,"codeIndicateur","xvii","unite","Dénominateur","maille","Maille d'appréciation","type_valeur","Valeurs Nettes","OC","(vide)"),VUE_KPI_FTTH!A1)</f>
        <v>N/A</v>
      </c>
      <c r="J38" s="63" t="str">
        <f>IFERROR(GETPIVOTDATA("valeur",VUE_KPI_FTTH!$A$7,"codeIndicateur","xvii","unite","Dénominateur","maille","Maille d'appréciation","type_valeur","Valeurs Brutes","OC","(vide)"),VUE_KPI_FTTH!A1)</f>
        <v>N/A</v>
      </c>
      <c r="K38" s="67" t="e">
        <f t="shared" ca="1" si="0"/>
        <v>#NAME?</v>
      </c>
    </row>
    <row r="39" spans="1:11" ht="30" customHeight="1" x14ac:dyDescent="0.25">
      <c r="A39" s="112"/>
      <c r="B39" s="5" t="s">
        <v>3</v>
      </c>
      <c r="C39" s="64">
        <f t="shared" ref="C39:J39" si="9">IF(OR(C38="",C38="N/A",C38="NC",C38="ND"),"",C37/C38)</f>
        <v>5.0807844731226505E-4</v>
      </c>
      <c r="D39" s="64">
        <f t="shared" si="9"/>
        <v>5.0807844731226505E-4</v>
      </c>
      <c r="E39" s="64" t="str">
        <f t="shared" si="9"/>
        <v/>
      </c>
      <c r="F39" s="64" t="str">
        <f t="shared" si="9"/>
        <v/>
      </c>
      <c r="G39" s="64">
        <f t="shared" si="9"/>
        <v>5.1557022066405444E-4</v>
      </c>
      <c r="H39" s="64">
        <f t="shared" si="9"/>
        <v>5.1557022066405444E-4</v>
      </c>
      <c r="I39" s="64" t="str">
        <f t="shared" si="9"/>
        <v/>
      </c>
      <c r="J39" s="64" t="str">
        <f t="shared" si="9"/>
        <v/>
      </c>
      <c r="K39" s="67" t="e">
        <f t="shared" ca="1" si="0"/>
        <v>#NAME?</v>
      </c>
    </row>
    <row r="40" spans="1:11" ht="30" customHeight="1" x14ac:dyDescent="0.25">
      <c r="A40" s="111" t="s">
        <v>23</v>
      </c>
      <c r="B40" s="5" t="s">
        <v>1</v>
      </c>
      <c r="C40" s="60">
        <f>IFERROR(GETPIVOTDATA("valeur",VUE_KPI_FTTH!$A$7,"codeIndicateur","xviii","unite","Numérateur","maille","Maille OI","type_valeur","Valeurs Nettes","OC","(vide)"),VUE_KPI_FTTH!A1)</f>
        <v>0</v>
      </c>
      <c r="D40" s="61">
        <f>IFERROR(GETPIVOTDATA("valeur",VUE_KPI_FTTH!$A$7,"codeIndicateur","xviii","unite","Numérateur","maille","Maille OI","type_valeur","Valeurs Brutes","OC","(vide)"),VUE_KPI_FTTH!A1)</f>
        <v>0</v>
      </c>
      <c r="E40" s="60" t="str">
        <f>IFERROR(GETPIVOTDATA("valeur",VUE_KPI_FTTH!$A$7,"codeIndicateur","xviii","unite","Numérateur","maille","Maille OI (offres commercialisées sur le marché de gros activé)","type_valeur","Valeurs Nettes","OC","(vide)"),VUE_KPI_FTTH!A1)</f>
        <v>N/A</v>
      </c>
      <c r="F40" s="61" t="str">
        <f>IFERROR(GETPIVOTDATA("valeur",VUE_KPI_FTTH!$A$7,"codeIndicateur","xviii","unite","Numérateur","maille","Maille OI (offres commercialisées sur le marché de gros activé)","type_valeur","Valeurs Brutes","OC","(vide)"),VUE_KPI_FTTH!A1)</f>
        <v>N/A</v>
      </c>
      <c r="G40" s="60">
        <f>IFERROR(GETPIVOTDATA("valeur",VUE_KPI_FTTH!$A$7,"codeIndicateur","xviii","unite","Numérateur","maille","Maille OI (offres commercialisées sur le marché de détail - Autofourniture)","type_valeur","Valeurs Nettes","OC","(vide)"),VUE_KPI_FTTH!A1)</f>
        <v>0</v>
      </c>
      <c r="H40" s="61">
        <f>IFERROR(GETPIVOTDATA("valeur",VUE_KPI_FTTH!$A$7,"codeIndicateur","xviii","unite","Numérateur","maille","Maille OI (offres commercialisées sur le marché de détail - Autofourniture)","type_valeur","Valeurs Brutes","OC","(vide)"),VUE_KPI_FTTH!A1)</f>
        <v>0</v>
      </c>
      <c r="I40" s="60" t="str">
        <f>IFERROR(GETPIVOTDATA("valeur",VUE_KPI_FTTH!$A$7,"codeIndicateur","xviii","unite","Numérateur","maille","Maille d'appréciation","type_valeur","Valeurs Nettes","OC","(vide)"),VUE_KPI_FTTH!A1)</f>
        <v>N/A</v>
      </c>
      <c r="J40" s="61" t="str">
        <f>IFERROR(GETPIVOTDATA("valeur",VUE_KPI_FTTH!$A$7,"codeIndicateur","xviii","unite","Numérateur","maille","Maille d'appréciation","type_valeur","Valeurs Brutes","OC","(vide)"),VUE_KPI_FTTH!A1)</f>
        <v>N/A</v>
      </c>
      <c r="K40" s="67" t="e">
        <f t="shared" ca="1" si="0"/>
        <v>#NAME?</v>
      </c>
    </row>
    <row r="41" spans="1:11" ht="30" customHeight="1" x14ac:dyDescent="0.25">
      <c r="A41" s="112"/>
      <c r="B41" s="5" t="s">
        <v>2</v>
      </c>
      <c r="C41" s="62">
        <f>IFERROR(GETPIVOTDATA("valeur",VUE_KPI_FTTH!$A$7,"codeIndicateur","xviii","unite","Dénominateur","maille","Maille OI","type_valeur","Valeurs Nettes","OC","(vide)"),VUE_KPI_FTTH!A1)</f>
        <v>7</v>
      </c>
      <c r="D41" s="63">
        <f>IFERROR(GETPIVOTDATA("valeur",VUE_KPI_FTTH!$A$7,"codeIndicateur","xviii","unite","Dénominateur","maille","Maille OI","type_valeur","Valeurs Brutes","OC","(vide)"),VUE_KPI_FTTH!A1)</f>
        <v>7</v>
      </c>
      <c r="E41" s="62" t="str">
        <f>IFERROR(GETPIVOTDATA("valeur",VUE_KPI_FTTH!$A$7,"codeIndicateur","xviii","unite","Dénominateur","maille","Maille OI (offres commercialisées sur le marché de gros activé)","type_valeur","Valeurs Nettes","OC","(vide)"),VUE_KPI_FTTH!A1)</f>
        <v>N/A</v>
      </c>
      <c r="F41" s="63" t="str">
        <f>IFERROR(GETPIVOTDATA("valeur",VUE_KPI_FTTH!$A$7,"codeIndicateur","xviii","unite","Dénominateur","maille","Maille OI (offres commercialisées sur le marché de gros activé)","type_valeur","Valeurs Brutes","OC","(vide)"),VUE_KPI_FTTH!A1)</f>
        <v>N/A</v>
      </c>
      <c r="G41" s="62">
        <f>IFERROR(GETPIVOTDATA("valeur",VUE_KPI_FTTH!$A$7,"codeIndicateur","xviii","unite","Dénominateur","maille","Maille OI (offres commercialisées sur le marché de détail - Autofourniture)","type_valeur","Valeurs Nettes","OC","(vide)"),VUE_KPI_FTTH!A1)</f>
        <v>7</v>
      </c>
      <c r="H41" s="63">
        <f>IFERROR(GETPIVOTDATA("valeur",VUE_KPI_FTTH!$A$7,"codeIndicateur","xviii","unite","Dénominateur","maille","Maille OI (offres commercialisées sur le marché de détail - Autofourniture)","type_valeur","Valeurs Brutes","OC","(vide)"),VUE_KPI_FTTH!A1)</f>
        <v>7</v>
      </c>
      <c r="I41" s="62" t="str">
        <f>IFERROR(GETPIVOTDATA("valeur",VUE_KPI_FTTH!$A$7,"codeIndicateur","xviii","unite","Dénominateur","maille","Maille d'appréciation","type_valeur","Valeurs Nettes","OC","(vide)"),VUE_KPI_FTTH!A1)</f>
        <v>N/A</v>
      </c>
      <c r="J41" s="63" t="str">
        <f>IFERROR(GETPIVOTDATA("valeur",VUE_KPI_FTTH!$A$7,"codeIndicateur","xviii","unite","Dénominateur","maille","Maille d'appréciation","type_valeur","Valeurs Brutes","OC","(vide)"),VUE_KPI_FTTH!A1)</f>
        <v>N/A</v>
      </c>
      <c r="K41" s="67" t="e">
        <f t="shared" ca="1" si="0"/>
        <v>#NAME?</v>
      </c>
    </row>
    <row r="42" spans="1:11" ht="30" customHeight="1" x14ac:dyDescent="0.25">
      <c r="A42" s="112"/>
      <c r="B42" s="5" t="s">
        <v>3</v>
      </c>
      <c r="C42" s="64">
        <f t="shared" ref="C42:J42" si="10">IF(OR(C41="",C41="N/A",C41="NC",C41="ND"),"",C40/C41)</f>
        <v>0</v>
      </c>
      <c r="D42" s="64">
        <f t="shared" si="10"/>
        <v>0</v>
      </c>
      <c r="E42" s="64" t="str">
        <f t="shared" si="10"/>
        <v/>
      </c>
      <c r="F42" s="64" t="str">
        <f t="shared" si="10"/>
        <v/>
      </c>
      <c r="G42" s="64">
        <f t="shared" si="10"/>
        <v>0</v>
      </c>
      <c r="H42" s="64">
        <f t="shared" si="10"/>
        <v>0</v>
      </c>
      <c r="I42" s="64" t="str">
        <f t="shared" si="10"/>
        <v/>
      </c>
      <c r="J42" s="64" t="str">
        <f t="shared" si="10"/>
        <v/>
      </c>
      <c r="K42" s="67" t="e">
        <f t="shared" ca="1" si="0"/>
        <v>#NAME?</v>
      </c>
    </row>
    <row r="43" spans="1:11" x14ac:dyDescent="0.25">
      <c r="A43" s="71"/>
      <c r="B43" s="7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7" t="s">
        <v>24</v>
      </c>
      <c r="B4" s="8" t="s">
        <v>1</v>
      </c>
      <c r="C4" s="60">
        <f>IFERROR(GETPIVOTDATA("valeur",VUE_KPI_FTTH!$A$7,"codeIndicateur","xxiii","unite","Numérateur","maille","Maille OI","type_valeur","Valeurs Nettes","OC","(vide)"),VUE_KPI_FTTH!A1)</f>
        <v>1</v>
      </c>
      <c r="D4" s="61" t="str">
        <f>IFERROR(GETPIVOTDATA("valeur",VUE_KPI_FTTH!$A$7,"codeIndicateur","xxiii","unite","Numérateur","maille","Maille OI","type_valeur","Valeurs Brutes","OC","(vide)"),VUE_KPI_FTTH!A1)</f>
        <v>N/A</v>
      </c>
      <c r="E4" s="60" t="str">
        <f>IFERROR(GETPIVOTDATA("valeur",VUE_KPI_FTTH!$A$7,"codeIndicateur","xxiii","unite","Numérateur","maille","Maille OI (offres commercialisées sur le marché de gros activé)","type_valeur","Valeurs Nettes","OC","(vide)"),VUE_KPI_FTTH!A1)</f>
        <v>N/A</v>
      </c>
      <c r="F4" s="61" t="str">
        <f>IFERROR(GETPIVOTDATA("valeur",VUE_KPI_FTTH!$A$7,"codeIndicateur","xxiii","unite","Numérateur","maille","Maille OI (offres commercialisées sur le marché de gros activé)","type_valeur","Valeurs Brutes","OC","(vide)"),VUE_KPI_FTTH!A1)</f>
        <v>N/A</v>
      </c>
      <c r="G4" s="60" t="str">
        <f>IFERROR(GETPIVOTDATA("valeur",VUE_KPI_FTTH!$A$7,"codeIndicateur","xxiii","unite","Numérateur","maille","Maille OI (offres commercialisées sur le marché de détail - Autofourniture)","type_valeur","Valeurs Nettes","OC","(vide)"),VUE_KPI_FTTH!A1)</f>
        <v>N/A</v>
      </c>
      <c r="H4" s="61" t="str">
        <f>IFERROR(GETPIVOTDATA("valeur",VUE_KPI_FTTH!$A$7,"codeIndicateur","xxiii","unite","Numérateur","maille","Maille OI (offres commercialisées sur le marché de détail - Autofourniture)","type_valeur","Valeurs Brutes","OC","(vide)"),VUE_KPI_FTTH!A1)</f>
        <v>N/A</v>
      </c>
      <c r="I4" s="60" t="str">
        <f>IFERROR(GETPIVOTDATA("valeur",VUE_KPI_FTTH!$A$7,"codeIndicateur","xxiii","unite","Numérateur","maille","Maille d'appréciation","type_valeur","Valeurs Nettes","OC","(vide)"),VUE_KPI_FTTH!A1)</f>
        <v>N/A</v>
      </c>
      <c r="J4" s="61" t="str">
        <f>IFERROR(GETPIVOTDATA("valeur",VUE_KPI_FTTH!$A$7,"codeIndicateur","xxiii","unite","Numérateur","maille","Maille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8"/>
      <c r="B5" s="5" t="s">
        <v>2</v>
      </c>
      <c r="C5" s="62">
        <f>IFERROR(GETPIVOTDATA("valeur",VUE_KPI_FTTH!$A$7,"codeIndicateur","xxiii","unite","Dénominateur","maille","Maille OI","type_valeur","Valeurs Nettes","OC","(vide)"),VUE_KPI_FTTH!A1)</f>
        <v>1</v>
      </c>
      <c r="D5" s="63" t="str">
        <f>IFERROR(GETPIVOTDATA("valeur",VUE_KPI_FTTH!$A$7,"codeIndicateur","xxiii","unite","Dénominateur","maille","Maille OI","type_valeur","Valeurs Brutes","OC","(vide)"),VUE_KPI_FTTH!A1)</f>
        <v>N/A</v>
      </c>
      <c r="E5" s="62" t="str">
        <f>IFERROR(GETPIVOTDATA("valeur",VUE_KPI_FTTH!$A$7,"codeIndicateur","xxiii","unite","Dénominateur","maille","Maille OI (offres commercialisées sur le marché de gros activé)","type_valeur","Valeurs Nettes","OC","(vide)"),VUE_KPI_FTTH!A1)</f>
        <v>N/A</v>
      </c>
      <c r="F5" s="63" t="str">
        <f>IFERROR(GETPIVOTDATA("valeur",VUE_KPI_FTTH!$A$7,"codeIndicateur","xxiii","unite","Dénominateur","maille","Maille OI (offres commercialisées sur le marché de gros activé)","type_valeur","Valeurs Brutes","OC","(vide)"),VUE_KPI_FTTH!A1)</f>
        <v>N/A</v>
      </c>
      <c r="G5" s="62" t="str">
        <f>IFERROR(GETPIVOTDATA("valeur",VUE_KPI_FTTH!$A$7,"codeIndicateur","xxiii","unite","Dénominateur","maille","Maille OI (offres commercialisées sur le marché de détail - Autofourniture)","type_valeur","Valeurs Nettes","OC","(vide)"),VUE_KPI_FTTH!A1)</f>
        <v>N/A</v>
      </c>
      <c r="H5" s="63" t="str">
        <f>IFERROR(GETPIVOTDATA("valeur",VUE_KPI_FTTH!$A$7,"codeIndicateur","xxiii","unite","Dénominateur","maille","Maille OI (offres commercialisées sur le marché de détail - Autofourniture)","type_valeur","Valeurs Brutes","OC","(vide)"),VUE_KPI_FTTH!A1)</f>
        <v>N/A</v>
      </c>
      <c r="I5" s="62" t="str">
        <f>IFERROR(GETPIVOTDATA("valeur",VUE_KPI_FTTH!$A$7,"codeIndicateur","xxiii","unite","Dénominateur","maille","Maille d'appréciation","type_valeur","Valeurs Nettes","OC","(vide)"),VUE_KPI_FTTH!A1)</f>
        <v>N/A</v>
      </c>
      <c r="J5" s="63" t="str">
        <f>IFERROR(GETPIVOTDATA("valeur",VUE_KPI_FTTH!$A$7,"codeIndicateur","xxiii","unite","Dénominateur","maille","Maille d'appréciation","type_valeur","Valeurs Brutes","OC","(vide)"),VUE_KPI_FTTH!A1)</f>
        <v>N/A</v>
      </c>
      <c r="K5" s="67"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1"/>
      <c r="B6" s="5" t="s">
        <v>3</v>
      </c>
      <c r="C6" s="64">
        <f t="shared" ref="C6:J6" si="1">IF(OR(C5="",C5="N/A",C5="NC",C5="ND"),"",C4/C5)</f>
        <v>1</v>
      </c>
      <c r="D6" s="64" t="str">
        <f t="shared" si="1"/>
        <v/>
      </c>
      <c r="E6" s="64" t="str">
        <f t="shared" si="1"/>
        <v/>
      </c>
      <c r="F6" s="64" t="str">
        <f t="shared" si="1"/>
        <v/>
      </c>
      <c r="G6" s="64" t="str">
        <f t="shared" si="1"/>
        <v/>
      </c>
      <c r="H6" s="64" t="str">
        <f t="shared" si="1"/>
        <v/>
      </c>
      <c r="I6" s="64" t="str">
        <f t="shared" si="1"/>
        <v/>
      </c>
      <c r="J6" s="64" t="str">
        <f t="shared" si="1"/>
        <v/>
      </c>
      <c r="K6" s="67" t="e">
        <f t="shared" ca="1" si="0"/>
        <v>#NAME?</v>
      </c>
    </row>
    <row r="7" spans="1:11" ht="30" customHeight="1" x14ac:dyDescent="0.25">
      <c r="A7" s="70" t="s">
        <v>25</v>
      </c>
      <c r="B7" s="9" t="s">
        <v>73</v>
      </c>
      <c r="C7" s="58">
        <f>IFERROR(GETPIVOTDATA("valeur",VUE_KPI_FTTH!$A$7,"codeIndicateur","xxiv","unite","Délai moyen","maille","Maille OI","type_valeur","Valeurs Nettes","OC","(vide)"),VUE_KPI_FTTH!A1)</f>
        <v>125</v>
      </c>
      <c r="D7" s="59" t="str">
        <f>IFERROR(GETPIVOTDATA("valeur",VUE_KPI_FTTH!$A$7,"codeIndicateur","xxiv","unite","Délai moyen","maille","Maille OI","type_valeur","Valeurs Brutes","OC","(vide)"),VUE_KPI_FTTH!A1)</f>
        <v>N/A</v>
      </c>
      <c r="E7" s="58" t="str">
        <f>IFERROR(GETPIVOTDATA("valeur",VUE_KPI_FTTH!$A$7,"codeIndicateur","xxiv","unite","Délai moyen","maille","Maille OI (offres commercialisées sur le marché de gros activé)","type_valeur","Valeurs Nettes","OC","(vide)"),VUE_KPI_FTTH!A1)</f>
        <v>N/A</v>
      </c>
      <c r="F7" s="59" t="str">
        <f>IFERROR(GETPIVOTDATA("valeur",VUE_KPI_FTTH!$A$7,"codeIndicateur","xxiv","unite","Délai moyen","maille","Maille OI (offres commercialisées sur le marché de gros activé)","type_valeur","Valeurs Brutes","OC","(vide)"),VUE_KPI_FTTH!A1)</f>
        <v>N/A</v>
      </c>
      <c r="G7" s="58" t="str">
        <f>IFERROR(GETPIVOTDATA("valeur",VUE_KPI_FTTH!$A$7,"codeIndicateur","xxiv","unite","Délai moyen","maille","Maille OI (offres commercialisées sur le marché de détail - Autofourniture)","type_valeur","Valeurs Nettes","OC","(vide)"),VUE_KPI_FTTH!A1)</f>
        <v>N/A</v>
      </c>
      <c r="H7" s="59" t="str">
        <f>IFERROR(GETPIVOTDATA("valeur",VUE_KPI_FTTH!$A$7,"codeIndicateur","xxiv","unite","Délai moyen","maille","Maille OI (offres commercialisées sur le marché de détail - Autofourniture)","type_valeur","Valeurs Brutes","OC","(vide)"),VUE_KPI_FTTH!A1)</f>
        <v>N/A</v>
      </c>
      <c r="I7" s="58" t="str">
        <f>IFERROR(GETPIVOTDATA("valeur",VUE_KPI_FTTH!$A$7,"codeIndicateur","xxiv","unite","Délai moyen","maille","Maille d'appréciation","type_valeur","Valeurs Nettes","OC","(vide)"),VUE_KPI_FTTH!A1)</f>
        <v>N/A</v>
      </c>
      <c r="J7" s="59" t="str">
        <f>IFERROR(GETPIVOTDATA("valeur",VUE_KPI_FTTH!$A$7,"codeIndicateur","xxiv","unite","Délai moyen","maille","Maille d'appréciation","type_valeur","Valeurs Brutes","OC","(vide)"),VUE_KPI_FTTH!A1)</f>
        <v>N/A</v>
      </c>
      <c r="K7" s="67" t="e">
        <f t="shared" ca="1" si="0"/>
        <v>#NAME?</v>
      </c>
    </row>
    <row r="8" spans="1:11" ht="19.899999999999999" customHeight="1" x14ac:dyDescent="0.25">
      <c r="A8" s="113" t="s">
        <v>5</v>
      </c>
      <c r="B8" s="114"/>
      <c r="C8" s="114"/>
      <c r="D8" s="114"/>
      <c r="E8" s="114"/>
      <c r="F8" s="114"/>
      <c r="G8" s="114"/>
      <c r="H8" s="114"/>
      <c r="I8" s="114"/>
      <c r="J8" s="115"/>
      <c r="K8" s="67" t="e">
        <f t="shared" ca="1" si="0"/>
        <v>#NAME?</v>
      </c>
    </row>
    <row r="9" spans="1:11" ht="30" customHeight="1" x14ac:dyDescent="0.25">
      <c r="A9" s="117" t="s">
        <v>26</v>
      </c>
      <c r="B9" s="5" t="s">
        <v>1</v>
      </c>
      <c r="C9" s="60" t="str">
        <f>IFERROR(GETPIVOTDATA("valeur",VUE_KPI_FTTH!$A$7,"codeIndicateur","xix","unite","Numérateur","maille","Maille OI","type_valeur","Valeurs Nettes","OC","(vide)"),VUE_KPI_FTTH!A1)</f>
        <v>N/A</v>
      </c>
      <c r="D9" s="61" t="str">
        <f>IFERROR(GETPIVOTDATA("valeur",VUE_KPI_FTTH!$A$7,"codeIndicateur","xix","unite","Numérateur","maille","Maille OI","type_valeur","Valeurs Brutes","OC","(vide)"),VUE_KPI_FTTH!A1)</f>
        <v>N/A</v>
      </c>
      <c r="E9" s="60" t="str">
        <f>IFERROR(GETPIVOTDATA("valeur",VUE_KPI_FTTH!$A$7,"codeIndicateur","xix","unite","Numérateur","maille","Maille OI (offres commercialisées sur le marché de gros activé)","type_valeur","Valeurs Nettes","OC","(vide)"),VUE_KPI_FTTH!A1)</f>
        <v>N/A</v>
      </c>
      <c r="F9" s="61" t="str">
        <f>IFERROR(GETPIVOTDATA("valeur",VUE_KPI_FTTH!$A$7,"codeIndicateur","xix","unite","Numérateur","maille","Maille OI (offres commercialisées sur le marché de gros activé)","type_valeur","Valeurs Brutes","OC","(vide)"),VUE_KPI_FTTH!A1)</f>
        <v>N/A</v>
      </c>
      <c r="G9" s="60" t="str">
        <f>IFERROR(GETPIVOTDATA("valeur",VUE_KPI_FTTH!$A$7,"codeIndicateur","xix","unite","Numérateur","maille","Maille OI (offres commercialisées sur le marché de détail - Autofourniture)","type_valeur","Valeurs Nettes","OC","(vide)"),VUE_KPI_FTTH!A1)</f>
        <v>N/A</v>
      </c>
      <c r="H9" s="61" t="str">
        <f>IFERROR(GETPIVOTDATA("valeur",VUE_KPI_FTTH!$A$7,"codeIndicateur","xix","unite","Numérateur","maille","Maille OI (offres commercialisées sur le marché de détail - Autofourniture)","type_valeur","Valeurs Brutes","OC","(vide)"),VUE_KPI_FTTH!A1)</f>
        <v>N/A</v>
      </c>
      <c r="I9" s="60" t="str">
        <f>IFERROR(GETPIVOTDATA("valeur",VUE_KPI_FTTH!$A$7,"codeIndicateur","xix","unite","Numérateur","maille","Maille d'appréciation","type_valeur","Valeurs Nettes","OC","(vide)"),VUE_KPI_FTTH!A1)</f>
        <v>N/A</v>
      </c>
      <c r="J9" s="61" t="str">
        <f>IFERROR(GETPIVOTDATA("valeur",VUE_KPI_FTTH!$A$7,"codeIndicateur","xix","unite","Numérateur","maille","Maille d'appréciation","type_valeur","Valeurs Brutes","OC","(vide)"),VUE_KPI_FTTH!A1)</f>
        <v>N/A</v>
      </c>
      <c r="K9" s="67" t="e">
        <f t="shared" ca="1" si="0"/>
        <v>#NAME?</v>
      </c>
    </row>
    <row r="10" spans="1:11" ht="30" customHeight="1" x14ac:dyDescent="0.25">
      <c r="A10" s="118"/>
      <c r="B10" s="5" t="s">
        <v>2</v>
      </c>
      <c r="C10" s="62" t="str">
        <f>IFERROR(GETPIVOTDATA("valeur",VUE_KPI_FTTH!$A$7,"codeIndicateur","xix","unite","Dénominateur","maille","Maille OI","type_valeur","Valeurs Nettes","OC","(vide)"),VUE_KPI_FTTH!A1)</f>
        <v>N/A</v>
      </c>
      <c r="D10" s="63" t="str">
        <f>IFERROR(GETPIVOTDATA("valeur",VUE_KPI_FTTH!$A$7,"codeIndicateur","xix","unite","Dénominateur","maille","Maille OI","type_valeur","Valeurs Brutes","OC","(vide)"),VUE_KPI_FTTH!A1)</f>
        <v>N/A</v>
      </c>
      <c r="E10" s="62" t="str">
        <f>IFERROR(GETPIVOTDATA("valeur",VUE_KPI_FTTH!$A$7,"codeIndicateur","xix","unite","Dénominateur","maille","Maille OI (offres commercialisées sur le marché de gros activé)","type_valeur","Valeurs Nettes","OC","(vide)"),VUE_KPI_FTTH!A1)</f>
        <v>N/A</v>
      </c>
      <c r="F10" s="63" t="str">
        <f>IFERROR(GETPIVOTDATA("valeur",VUE_KPI_FTTH!$A$7,"codeIndicateur","xix","unite","Dénominateur","maille","Maille OI (offres commercialisées sur le marché de gros activé)","type_valeur","Valeurs Brutes","OC","(vide)"),VUE_KPI_FTTH!A1)</f>
        <v>N/A</v>
      </c>
      <c r="G10" s="62" t="str">
        <f>IFERROR(GETPIVOTDATA("valeur",VUE_KPI_FTTH!$A$7,"codeIndicateur","xix","unite","Dénominateur","maille","Maille OI (offres commercialisées sur le marché de détail - Autofourniture)","type_valeur","Valeurs Nettes","OC","(vide)"),VUE_KPI_FTTH!A1)</f>
        <v>N/A</v>
      </c>
      <c r="H10" s="63" t="str">
        <f>IFERROR(GETPIVOTDATA("valeur",VUE_KPI_FTTH!$A$7,"codeIndicateur","xix","unite","Dénominateur","maille","Maille OI (offres commercialisées sur le marché de détail - Autofourniture)","type_valeur","Valeurs Brutes","OC","(vide)"),VUE_KPI_FTTH!A1)</f>
        <v>N/A</v>
      </c>
      <c r="I10" s="62" t="str">
        <f>IFERROR(GETPIVOTDATA("valeur",VUE_KPI_FTTH!$A$7,"codeIndicateur","xix","unite","Dénominateur","maille","Maille d'appréciation","type_valeur","Valeurs Nettes","OC","(vide)"),VUE_KPI_FTTH!A1)</f>
        <v>N/A</v>
      </c>
      <c r="J10" s="63" t="str">
        <f>IFERROR(GETPIVOTDATA("valeur",VUE_KPI_FTTH!$A$7,"codeIndicateur","xix","unite","Dénominateur","maille","Maille d'appréciation","type_valeur","Valeurs Brutes","OC","(vide)"),VUE_KPI_FTTH!A1)</f>
        <v>N/A</v>
      </c>
      <c r="K10" s="67" t="e">
        <f t="shared" ca="1" si="0"/>
        <v>#NAME?</v>
      </c>
    </row>
    <row r="11" spans="1:11" ht="30" customHeight="1" x14ac:dyDescent="0.25">
      <c r="A11" s="111"/>
      <c r="B11" s="5" t="s">
        <v>3</v>
      </c>
      <c r="C11" s="64" t="str">
        <f t="shared" ref="C11:J11" si="2">IF(OR(C10="",C10="N/A",C10="NC",C10="ND"),"",C9/C10)</f>
        <v/>
      </c>
      <c r="D11" s="64" t="str">
        <f t="shared" si="2"/>
        <v/>
      </c>
      <c r="E11" s="64" t="str">
        <f t="shared" si="2"/>
        <v/>
      </c>
      <c r="F11" s="64" t="str">
        <f t="shared" si="2"/>
        <v/>
      </c>
      <c r="G11" s="64" t="str">
        <f t="shared" si="2"/>
        <v/>
      </c>
      <c r="H11" s="64" t="str">
        <f t="shared" si="2"/>
        <v/>
      </c>
      <c r="I11" s="64" t="str">
        <f t="shared" si="2"/>
        <v/>
      </c>
      <c r="J11" s="64" t="str">
        <f t="shared" si="2"/>
        <v/>
      </c>
      <c r="K11" s="67" t="e">
        <f t="shared" ca="1" si="0"/>
        <v>#NAME?</v>
      </c>
    </row>
    <row r="12" spans="1:11" ht="30" customHeight="1" x14ac:dyDescent="0.25">
      <c r="A12" s="70" t="s">
        <v>27</v>
      </c>
      <c r="B12" s="5" t="s">
        <v>73</v>
      </c>
      <c r="C12" s="58" t="str">
        <f>IFERROR(GETPIVOTDATA("valeur",VUE_KPI_FTTH!$A$7,"codeIndicateur","xx","unite","Délai moyen","maille","Maille OI","type_valeur","Valeurs Nettes","OC","(vide)"),VUE_KPI_FTTH!A1)</f>
        <v>N/A</v>
      </c>
      <c r="D12" s="59" t="str">
        <f>IFERROR(GETPIVOTDATA("valeur",VUE_KPI_FTTH!$A$7,"codeIndicateur","xx","unite","Délai moyen","maille","Maille OI","type_valeur","Valeurs Brutes","OC","(vide)"),VUE_KPI_FTTH!A1)</f>
        <v>N/A</v>
      </c>
      <c r="E12" s="58" t="str">
        <f>IFERROR(GETPIVOTDATA("valeur",VUE_KPI_FTTH!$A$7,"codeIndicateur","xx","unite","Délai moyen","maille","Maille OI (offres commercialisées sur le marché de gros activé)","type_valeur","Valeurs Nettes","OC","(vide)"),VUE_KPI_FTTH!A1)</f>
        <v>N/A</v>
      </c>
      <c r="F12" s="59" t="str">
        <f>IFERROR(GETPIVOTDATA("valeur",VUE_KPI_FTTH!$A$7,"codeIndicateur","xx","unite","Délai moyen","maille","Maille OI (offres commercialisées sur le marché de gros activé)","type_valeur","Valeurs Brutes","OC","(vide)"),VUE_KPI_FTTH!A1)</f>
        <v>N/A</v>
      </c>
      <c r="G12" s="58" t="str">
        <f>IFERROR(GETPIVOTDATA("valeur",VUE_KPI_FTTH!$A$7,"codeIndicateur","xx","unite","Délai moyen","maille","Maille OI (offres commercialisées sur le marché de détail - Autofourniture)","type_valeur","Valeurs Nettes","OC","(vide)"),VUE_KPI_FTTH!A1)</f>
        <v>N/A</v>
      </c>
      <c r="H12" s="59" t="str">
        <f>IFERROR(GETPIVOTDATA("valeur",VUE_KPI_FTTH!$A$7,"codeIndicateur","xx","unite","Délai moyen","maille","Maille OI (offres commercialisées sur le marché de détail - Autofourniture)","type_valeur","Valeurs Brutes","OC","(vide)"),VUE_KPI_FTTH!A1)</f>
        <v>N/A</v>
      </c>
      <c r="I12" s="58" t="str">
        <f>IFERROR(GETPIVOTDATA("valeur",VUE_KPI_FTTH!$A$7,"codeIndicateur","xx","unite","Délai moyen","maille","Maille d'appréciation","type_valeur","Valeurs Nettes","OC","(vide)"),VUE_KPI_FTTH!A1)</f>
        <v>N/A</v>
      </c>
      <c r="J12" s="59" t="str">
        <f>IFERROR(GETPIVOTDATA("valeur",VUE_KPI_FTTH!$A$7,"codeIndicateur","xx","unite","Délai moyen","maille","Maille d'appréciation","type_valeur","Valeurs Brutes","OC","(vide)"),VUE_KPI_FTTH!A1)</f>
        <v>N/A</v>
      </c>
      <c r="K12" s="67" t="e">
        <f t="shared" ca="1" si="0"/>
        <v>#NAME?</v>
      </c>
    </row>
    <row r="13" spans="1:11" ht="30" customHeight="1" x14ac:dyDescent="0.25">
      <c r="A13" s="70" t="s">
        <v>28</v>
      </c>
      <c r="B13" s="5" t="s">
        <v>73</v>
      </c>
      <c r="C13" s="58" t="str">
        <f>IFERROR(GETPIVOTDATA("valeur",VUE_KPI_FTTH!$A$7,"codeIndicateur","xxv","unite","Délai moyen","maille","Maille OI","type_valeur","Valeurs Nettes","OC","(vide)"),VUE_KPI_FTTH!A1)</f>
        <v>N/A</v>
      </c>
      <c r="D13" s="58" t="str">
        <f>IFERROR(GETPIVOTDATA("valeur",VUE_KPI_FTTH!$A$7,"codeIndicateur","xxv","unite","Délai moyen","maille","Maille OI","type_valeur","Valeurs Brutes","OC","(vide)"),VUE_KPI_FTTH!A1)</f>
        <v>N/A</v>
      </c>
      <c r="E13" s="58" t="str">
        <f>IFERROR(GETPIVOTDATA("valeur",VUE_KPI_FTTH!$A$7,"codeIndicateur","xxv","unite","Délai moyen","maille","Maille OI (offres commercialisées sur le marché de gros activé)","type_valeur","Valeurs Nettes","OC","(vide)"),VUE_KPI_FTTH!A1)</f>
        <v>N/A</v>
      </c>
      <c r="F13" s="58" t="str">
        <f>IFERROR(GETPIVOTDATA("valeur",VUE_KPI_FTTH!$A$7,"codeIndicateur","xxv","unite","Délai moyen","maille","Maille OI (offres commercialisées sur le marché de gros activé)","type_valeur","Valeurs Brutes","OC","(vide)"),VUE_KPI_FTTH!A1)</f>
        <v>N/A</v>
      </c>
      <c r="G13" s="58" t="str">
        <f>IFERROR(GETPIVOTDATA("valeur",VUE_KPI_FTTH!$A$7,"codeIndicateur","xxv","unite","Délai moyen","maille","Maille OI (offres commercialisées sur le marché de détail - Autofourniture)","type_valeur","Valeurs Nettes","OC","(vide)"),VUE_KPI_FTTH!A1)</f>
        <v>N/A</v>
      </c>
      <c r="H13" s="58" t="str">
        <f>IFERROR(GETPIVOTDATA("valeur",VUE_KPI_FTTH!$A$7,"codeIndicateur","xxv","unite","Délai moyen","maille","Maille OI (offres commercialisées sur le marché de détail - Autofourniture)","type_valeur","Valeurs Brutes","OC","(vide)"),VUE_KPI_FTTH!A1)</f>
        <v>N/A</v>
      </c>
      <c r="I13" s="58" t="str">
        <f>IFERROR(GETPIVOTDATA("valeur",VUE_KPI_FTTH!$A$7,"codeIndicateur","xxv","unite","Délai moyen","maille","Maille d'appréciation","type_valeur","Valeurs Nettes","OC","(vide)"),VUE_KPI_FTTH!A1)</f>
        <v>N/A</v>
      </c>
      <c r="J13" s="58" t="str">
        <f>IFERROR(GETPIVOTDATA("valeur",VUE_KPI_FTTH!$A$7,"codeIndicateur","xxv","unite","Délai moyen","maille","Maille d'appréciation","type_valeur","Valeurs Brutes","OC","(vide)"),VUE_KPI_FTTH!A1)</f>
        <v>N/A</v>
      </c>
      <c r="K13" s="67" t="e">
        <f t="shared" ca="1" si="0"/>
        <v>#NAME?</v>
      </c>
    </row>
    <row r="14" spans="1:11" ht="30" customHeight="1" x14ac:dyDescent="0.25">
      <c r="A14" s="117" t="s">
        <v>29</v>
      </c>
      <c r="B14" s="5" t="s">
        <v>1</v>
      </c>
      <c r="C14" s="60" t="str">
        <f>IFERROR(GETPIVOTDATA("valeur",VUE_KPI_FTTH!$A$7,"codeIndicateur","xxi","unite","Numérateur","maille","Maille OI","type_valeur","Valeurs Nettes","OC","(vide)"),VUE_KPI_FTTH!A1)</f>
        <v>N/A</v>
      </c>
      <c r="D14" s="61" t="str">
        <f>IFERROR(GETPIVOTDATA("valeur",VUE_KPI_FTTH!$A$7,"codeIndicateur","xxi","unite","Numérateur","maille","Maille OI","type_valeur","Valeurs Brutes","OC","(vide)"),VUE_KPI_FTTH!A1)</f>
        <v>N/A</v>
      </c>
      <c r="E14" s="60" t="str">
        <f>IFERROR(GETPIVOTDATA("valeur",VUE_KPI_FTTH!$A$7,"codeIndicateur","xxi","unite","Numérateur","maille","Maille OI (offres commercialisées sur le marché de gros activé)","type_valeur","Valeurs Nettes","OC","(vide)"),VUE_KPI_FTTH!A1)</f>
        <v>N/A</v>
      </c>
      <c r="F14" s="61" t="str">
        <f>IFERROR(GETPIVOTDATA("valeur",VUE_KPI_FTTH!$A$7,"codeIndicateur","xxi","unite","Numérateur","maille","Maille OI (offres commercialisées sur le marché de gros activé)","type_valeur","Valeurs Brutes","OC","(vide)"),VUE_KPI_FTTH!A1)</f>
        <v>N/A</v>
      </c>
      <c r="G14" s="60" t="str">
        <f>IFERROR(GETPIVOTDATA("valeur",VUE_KPI_FTTH!$A$7,"codeIndicateur","xxi","unite","Numérateur","maille","Maille OI (offres commercialisées sur le marché de détail - Autofourniture)","type_valeur","Valeurs Nettes","OC","(vide)"),VUE_KPI_FTTH!A1)</f>
        <v>N/A</v>
      </c>
      <c r="H14" s="61" t="str">
        <f>IFERROR(GETPIVOTDATA("valeur",VUE_KPI_FTTH!$A$7,"codeIndicateur","xxi","unite","Numérateur","maille","Maille OI (offres commercialisées sur le marché de détail - Autofourniture)","type_valeur","Valeurs Brutes","OC","(vide)"),VUE_KPI_FTTH!A1)</f>
        <v>N/A</v>
      </c>
      <c r="I14" s="60" t="str">
        <f>IFERROR(GETPIVOTDATA("valeur",VUE_KPI_FTTH!$A$7,"codeIndicateur","xxi","unite","Numérateur","maille","Maille d'appréciation","type_valeur","Valeurs Nettes","OC","(vide)"),VUE_KPI_FTTH!A1)</f>
        <v>N/A</v>
      </c>
      <c r="J14" s="61" t="str">
        <f>IFERROR(GETPIVOTDATA("valeur",VUE_KPI_FTTH!$A$7,"codeIndicateur","xxi","unite","Numérateur","maille","Maille d'appréciation","type_valeur","Valeurs Brutes","OC","(vide)"),VUE_KPI_FTTH!A1)</f>
        <v>N/A</v>
      </c>
      <c r="K14" s="67" t="e">
        <f t="shared" ca="1" si="0"/>
        <v>#NAME?</v>
      </c>
    </row>
    <row r="15" spans="1:11" ht="30" customHeight="1" x14ac:dyDescent="0.25">
      <c r="A15" s="118"/>
      <c r="B15" s="5" t="s">
        <v>2</v>
      </c>
      <c r="C15" s="62" t="str">
        <f>IFERROR(GETPIVOTDATA("valeur",VUE_KPI_FTTH!$A$7,"codeIndicateur","xxi","unite","Dénominateur","maille","Maille OI","type_valeur","Valeurs Nettes","OC","(vide)"),VUE_KPI_FTTH!A1)</f>
        <v>N/A</v>
      </c>
      <c r="D15" s="63" t="str">
        <f>IFERROR(GETPIVOTDATA("valeur",VUE_KPI_FTTH!$A$7,"codeIndicateur","xxi","unite","Dénominateur","maille","Maille OI","type_valeur","Valeurs Brutes","OC","(vide)"),VUE_KPI_FTTH!A1)</f>
        <v>N/A</v>
      </c>
      <c r="E15" s="62" t="str">
        <f>IFERROR(GETPIVOTDATA("valeur",VUE_KPI_FTTH!$A$7,"codeIndicateur","xxi","unite","Dénominateur","maille","Maille OI (offres commercialisées sur le marché de gros activé)","type_valeur","Valeurs Nettes","OC","(vide)"),VUE_KPI_FTTH!A1)</f>
        <v>N/A</v>
      </c>
      <c r="F15" s="63" t="str">
        <f>IFERROR(GETPIVOTDATA("valeur",VUE_KPI_FTTH!$A$7,"codeIndicateur","xxi","unite","Dénominateur","maille","Maille OI (offres commercialisées sur le marché de gros activé)","type_valeur","Valeurs Brutes","OC","(vide)"),VUE_KPI_FTTH!A1)</f>
        <v>N/A</v>
      </c>
      <c r="G15" s="62" t="str">
        <f>IFERROR(GETPIVOTDATA("valeur",VUE_KPI_FTTH!$A$7,"codeIndicateur","xxi","unite","Dénominateur","maille","Maille OI (offres commercialisées sur le marché de détail - Autofourniture)","type_valeur","Valeurs Nettes","OC","(vide)"),VUE_KPI_FTTH!A1)</f>
        <v>N/A</v>
      </c>
      <c r="H15" s="63" t="str">
        <f>IFERROR(GETPIVOTDATA("valeur",VUE_KPI_FTTH!$A$7,"codeIndicateur","xxi","unite","Dénominateur","maille","Maille OI (offres commercialisées sur le marché de détail - Autofourniture)","type_valeur","Valeurs Brutes","OC","(vide)"),VUE_KPI_FTTH!A1)</f>
        <v>N/A</v>
      </c>
      <c r="I15" s="62" t="str">
        <f>IFERROR(GETPIVOTDATA("valeur",VUE_KPI_FTTH!$A$7,"codeIndicateur","xxi","unite","Dénominateur","maille","Maille d'appréciation","type_valeur","Valeurs Nettes","OC","(vide)"),VUE_KPI_FTTH!A1)</f>
        <v>N/A</v>
      </c>
      <c r="J15" s="63" t="str">
        <f>IFERROR(GETPIVOTDATA("valeur",VUE_KPI_FTTH!$A$7,"codeIndicateur","xxi","unite","Dénominateur","maille","Maille d'appréciation","type_valeur","Valeurs Brutes","OC","(vide)"),VUE_KPI_FTTH!A1)</f>
        <v>N/A</v>
      </c>
      <c r="K15" s="67" t="e">
        <f t="shared" ca="1" si="0"/>
        <v>#NAME?</v>
      </c>
    </row>
    <row r="16" spans="1:11" ht="30" customHeight="1" x14ac:dyDescent="0.25">
      <c r="A16" s="111"/>
      <c r="B16" s="5" t="s">
        <v>3</v>
      </c>
      <c r="C16" s="64" t="str">
        <f t="shared" ref="C16:J16" si="3">IF(OR(C15="",C15="N/A",C15="NC",C15="ND"),"",C14/C15)</f>
        <v/>
      </c>
      <c r="D16" s="64" t="str">
        <f t="shared" si="3"/>
        <v/>
      </c>
      <c r="E16" s="64" t="str">
        <f t="shared" si="3"/>
        <v/>
      </c>
      <c r="F16" s="64" t="str">
        <f t="shared" si="3"/>
        <v/>
      </c>
      <c r="G16" s="64" t="str">
        <f t="shared" si="3"/>
        <v/>
      </c>
      <c r="H16" s="64" t="str">
        <f t="shared" si="3"/>
        <v/>
      </c>
      <c r="I16" s="64" t="str">
        <f t="shared" si="3"/>
        <v/>
      </c>
      <c r="J16" s="64" t="str">
        <f t="shared" si="3"/>
        <v/>
      </c>
      <c r="K16" s="67" t="e">
        <f t="shared" ca="1" si="0"/>
        <v>#NAME?</v>
      </c>
    </row>
    <row r="17" spans="1:11" ht="30" customHeight="1" x14ac:dyDescent="0.25">
      <c r="A17" s="117" t="s">
        <v>30</v>
      </c>
      <c r="B17" s="8" t="s">
        <v>1</v>
      </c>
      <c r="C17" s="60">
        <f>IFERROR(GETPIVOTDATA("valeur",VUE_KPI_FTTH!$A$7,"codeIndicateur","xxvi","unite","Numérateur","maille","Maille OI","type_valeur","Valeurs Nettes","OC","(vide)"),VUE_KPI_FTTH!A1)</f>
        <v>2</v>
      </c>
      <c r="D17" s="61">
        <f>IFERROR(GETPIVOTDATA("valeur",VUE_KPI_FTTH!$A$7,"codeIndicateur","xxvi","unite","Numérateur","maille","Maille OI","type_valeur","Valeurs Brutes","OC","(vide)"),VUE_KPI_FTTH!A1)</f>
        <v>2</v>
      </c>
      <c r="E17" s="60" t="str">
        <f>IFERROR(GETPIVOTDATA("valeur",VUE_KPI_FTTH!$A$7,"codeIndicateur","xxvi","unite","Numérateur","maille","Maille OI (offres commercialisées sur le marché de gros activé)","type_valeur","Valeurs Nettes","OC","(vide)"),VUE_KPI_FTTH!A1)</f>
        <v>N/A</v>
      </c>
      <c r="F17" s="61" t="str">
        <f>IFERROR(GETPIVOTDATA("valeur",VUE_KPI_FTTH!$A$7,"codeIndicateur","xxvi","unite","Numérateur","maille","Maille OI (offres commercialisées sur le marché de gros activé)","type_valeur","Valeurs Brutes","OC","(vide)"),VUE_KPI_FTTH!A1)</f>
        <v>N/A</v>
      </c>
      <c r="G17" s="60">
        <f>IFERROR(GETPIVOTDATA("valeur",VUE_KPI_FTTH!$A$7,"codeIndicateur","xxvi","unite","Numérateur","maille","Maille OI (offres commercialisées sur le marché de détail - Autofourniture)","type_valeur","Valeurs Nettes","OC","(vide)"),VUE_KPI_FTTH!A1)</f>
        <v>2</v>
      </c>
      <c r="H17" s="61">
        <f>IFERROR(GETPIVOTDATA("valeur",VUE_KPI_FTTH!$A$7,"codeIndicateur","xxvi","unite","Numérateur","maille","Maille OI (offres commercialisées sur le marché de détail - Autofourniture)","type_valeur","Valeurs Brutes","OC","(vide)"),VUE_KPI_FTTH!A1)</f>
        <v>2</v>
      </c>
      <c r="I17" s="60" t="str">
        <f>IFERROR(GETPIVOTDATA("valeur",VUE_KPI_FTTH!$A$7,"codeIndicateur","xxvi","unite","Numérateur","maille","Maille d'appréciation","type_valeur","Valeurs Nettes","OC","(vide)"),VUE_KPI_FTTH!A1)</f>
        <v>N/A</v>
      </c>
      <c r="J17" s="61" t="str">
        <f>IFERROR(GETPIVOTDATA("valeur",VUE_KPI_FTTH!$A$7,"codeIndicateur","xxvi","unite","Numérateur","maille","Maille d'appréciation","type_valeur","Valeurs Brutes","OC","(vide)"),VUE_KPI_FTTH!A1)</f>
        <v>N/A</v>
      </c>
      <c r="K17" s="67" t="e">
        <f t="shared" ca="1" si="0"/>
        <v>#NAME?</v>
      </c>
    </row>
    <row r="18" spans="1:11" ht="30" customHeight="1" x14ac:dyDescent="0.25">
      <c r="A18" s="118"/>
      <c r="B18" s="5" t="s">
        <v>2</v>
      </c>
      <c r="C18" s="62">
        <f>IFERROR(GETPIVOTDATA("valeur",VUE_KPI_FTTH!$A$7,"codeIndicateur","xxvi","unite","Dénominateur","maille","Maille OI","type_valeur","Valeurs Nettes","OC","(vide)"),VUE_KPI_FTTH!A1)</f>
        <v>2</v>
      </c>
      <c r="D18" s="63">
        <f>IFERROR(GETPIVOTDATA("valeur",VUE_KPI_FTTH!$A$7,"codeIndicateur","xxvi","unite","Dénominateur","maille","Maille OI","type_valeur","Valeurs Brutes","OC","(vide)"),VUE_KPI_FTTH!A1)</f>
        <v>2</v>
      </c>
      <c r="E18" s="62" t="str">
        <f>IFERROR(GETPIVOTDATA("valeur",VUE_KPI_FTTH!$A$7,"codeIndicateur","xxvi","unite","Dénominateur","maille","Maille OI (offres commercialisées sur le marché de gros activé)","type_valeur","Valeurs Nettes","OC","(vide)"),VUE_KPI_FTTH!A1)</f>
        <v>N/A</v>
      </c>
      <c r="F18" s="63" t="str">
        <f>IFERROR(GETPIVOTDATA("valeur",VUE_KPI_FTTH!$A$7,"codeIndicateur","xxvi","unite","Dénominateur","maille","Maille OI (offres commercialisées sur le marché de gros activé)","type_valeur","Valeurs Brutes","OC","(vide)"),VUE_KPI_FTTH!A1)</f>
        <v>N/A</v>
      </c>
      <c r="G18" s="62">
        <f>IFERROR(GETPIVOTDATA("valeur",VUE_KPI_FTTH!$A$7,"codeIndicateur","xxvi","unite","Dénominateur","maille","Maille OI (offres commercialisées sur le marché de détail - Autofourniture)","type_valeur","Valeurs Nettes","OC","(vide)"),VUE_KPI_FTTH!A1)</f>
        <v>2</v>
      </c>
      <c r="H18" s="63">
        <f>IFERROR(GETPIVOTDATA("valeur",VUE_KPI_FTTH!$A$7,"codeIndicateur","xxvi","unite","Dénominateur","maille","Maille OI (offres commercialisées sur le marché de détail - Autofourniture)","type_valeur","Valeurs Brutes","OC","(vide)"),VUE_KPI_FTTH!A1)</f>
        <v>2</v>
      </c>
      <c r="I18" s="62" t="str">
        <f>IFERROR(GETPIVOTDATA("valeur",VUE_KPI_FTTH!$A$7,"codeIndicateur","xxvi","unite","Dénominateur","maille","Maille d'appréciation","type_valeur","Valeurs Nettes","OC","(vide)"),VUE_KPI_FTTH!A1)</f>
        <v>N/A</v>
      </c>
      <c r="J18" s="63" t="str">
        <f>IFERROR(GETPIVOTDATA("valeur",VUE_KPI_FTTH!$A$7,"codeIndicateur","xxvi","unite","Dénominateur","maille","Maille d'appréciation","type_valeur","Valeurs Brutes","OC","(vide)"),VUE_KPI_FTTH!A1)</f>
        <v>N/A</v>
      </c>
      <c r="K18" s="67" t="e">
        <f t="shared" ca="1" si="0"/>
        <v>#NAME?</v>
      </c>
    </row>
    <row r="19" spans="1:11" ht="30" customHeight="1" x14ac:dyDescent="0.25">
      <c r="A19" s="111"/>
      <c r="B19" s="5" t="s">
        <v>3</v>
      </c>
      <c r="C19" s="64">
        <f t="shared" ref="C19:J19" si="4">IF(OR(C18="",C18="N/A",C18="NC",C18="ND"),"",C17/C18)</f>
        <v>1</v>
      </c>
      <c r="D19" s="64">
        <f t="shared" si="4"/>
        <v>1</v>
      </c>
      <c r="E19" s="64" t="str">
        <f t="shared" si="4"/>
        <v/>
      </c>
      <c r="F19" s="64" t="str">
        <f t="shared" si="4"/>
        <v/>
      </c>
      <c r="G19" s="64">
        <f t="shared" si="4"/>
        <v>1</v>
      </c>
      <c r="H19" s="64">
        <f t="shared" si="4"/>
        <v>1</v>
      </c>
      <c r="I19" s="64" t="str">
        <f t="shared" si="4"/>
        <v/>
      </c>
      <c r="J19" s="64" t="str">
        <f t="shared" si="4"/>
        <v/>
      </c>
      <c r="K19" s="67" t="e">
        <f t="shared" ca="1" si="0"/>
        <v>#NAME?</v>
      </c>
    </row>
    <row r="20" spans="1:11" ht="30" customHeight="1" x14ac:dyDescent="0.25">
      <c r="A20" s="117" t="s">
        <v>31</v>
      </c>
      <c r="B20" s="8" t="s">
        <v>1</v>
      </c>
      <c r="C20" s="60">
        <f>IFERROR(GETPIVOTDATA("valeur",VUE_KPI_FTTH!$A$7,"codeIndicateur","xxii","unite","Numérateur","maille","Maille OI","type_valeur","Valeurs Nettes","OC","(vide)"),VUE_KPI_FTTH!A2)</f>
        <v>0</v>
      </c>
      <c r="D20" s="61">
        <f>IFERROR(GETPIVOTDATA("valeur",VUE_KPI_FTTH!$A$7,"codeIndicateur","xxii","unite","Numérateur","maille","Maille OI","type_valeur","Valeurs Brutes","OC","(vide)"),VUE_KPI_FTTH!A2)</f>
        <v>0</v>
      </c>
      <c r="E20" s="60">
        <f>IFERROR(GETPIVOTDATA("valeur",VUE_KPI_FTTH!$A$7,"codeIndicateur","xxii","unite","Numérateur","maille","Maille OI (offres commercialisées sur le marché de gros activé)","type_valeur","Valeurs Nettes","OC","(vide)"),VUE_KPI_FTTH!A2)</f>
        <v>0</v>
      </c>
      <c r="F20" s="61">
        <f>IFERROR(GETPIVOTDATA("valeur",VUE_KPI_FTTH!$A$7,"codeIndicateur","xxii","unite","Numérateur","maille","Maille OI (offres commercialisées sur le marché de gros activé)","type_valeur","Valeurs Brutes","OC","(vide)"),VUE_KPI_FTTH!A2)</f>
        <v>0</v>
      </c>
      <c r="G20" s="60" t="str">
        <f>IFERROR(GETPIVOTDATA("valeur",VUE_KPI_FTTH!$A$7,"codeIndicateur","xxii","unite","Numérateur","maille","Maille OI (offres commercialisées sur le marché de détail - Autofourniture)","type_valeur","Valeurs Nettes","OC","(vide)"),VUE_KPI_FTTH!A1)</f>
        <v>N/A</v>
      </c>
      <c r="H20" s="61" t="str">
        <f>IFERROR(GETPIVOTDATA("valeur",VUE_KPI_FTTH!$A$7,"codeIndicateur","xxii","unite","Numérateur","maille","Maille OI (offres commercialisées sur le marché de détail - Autofourniture)","type_valeur","Valeurs Brutes","OC","(vide)"),VUE_KPI_FTTH!A1)</f>
        <v>N/A</v>
      </c>
      <c r="I20" s="60" t="str">
        <f>IFERROR(GETPIVOTDATA("valeur",VUE_KPI_FTTH!$A$7,"codeIndicateur","xxii","unite","Numérateur","maille","Maille d'appréciation","type_valeur","Valeurs Nettes","OC","(vide)"),VUE_KPI_FTTH!A1)</f>
        <v>N/A</v>
      </c>
      <c r="J20" s="61" t="str">
        <f>IFERROR(GETPIVOTDATA("valeur",VUE_KPI_FTTH!$A$7,"codeIndicateur","xxii","unite","Numérateur","maille","Maille d'appréciation","type_valeur","Valeurs Brutes","OC","(vide)"),VUE_KPI_FTTH!A1)</f>
        <v>N/A</v>
      </c>
      <c r="K20" s="67" t="e">
        <f t="shared" ca="1" si="0"/>
        <v>#NAME?</v>
      </c>
    </row>
    <row r="21" spans="1:11" ht="30" customHeight="1" x14ac:dyDescent="0.25">
      <c r="A21" s="118"/>
      <c r="B21" s="5" t="s">
        <v>2</v>
      </c>
      <c r="C21" s="62" t="str">
        <f>IFERROR(GETPIVOTDATA("valeur",VUE_KPI_FTTH!$A$7,"codeIndicateur","xxii","unite","Dénominateur","maille","Maille OI","type_valeur","Valeurs Nettes","OC","(vide)"),VUE_KPI_FTTH!A1)</f>
        <v>N/A</v>
      </c>
      <c r="D21" s="63" t="str">
        <f>IFERROR(GETPIVOTDATA("valeur",VUE_KPI_FTTH!$A$7,"codeIndicateur","xxii","unite","Dénominateur","maille","Maille OI","type_valeur","Valeurs Brutes","OC","(vide)"),VUE_KPI_FTTH!A1)</f>
        <v>N/A</v>
      </c>
      <c r="E21" s="62" t="str">
        <f>IFERROR(GETPIVOTDATA("valeur",VUE_KPI_FTTH!$A$7,"codeIndicateur","xxii","unite","Dénominateur","maille","Maille OI (offres commercialisées sur le marché de gros activé)","type_valeur","Valeurs Nettes","OC","(vide)"),VUE_KPI_FTTH!A1)</f>
        <v>N/A</v>
      </c>
      <c r="F21" s="63" t="str">
        <f>IFERROR(GETPIVOTDATA("valeur",VUE_KPI_FTTH!$A$7,"codeIndicateur","xxii","unite","Dénominateur","maille","Maille OI (offres commercialisées sur le marché de gros activé)","type_valeur","Valeurs Brutes","OC","(vide)"),VUE_KPI_FTTH!A1)</f>
        <v>N/A</v>
      </c>
      <c r="G21" s="62" t="str">
        <f>IFERROR(GETPIVOTDATA("valeur",VUE_KPI_FTTH!$A$7,"codeIndicateur","xxii","unite","Dénominateur","maille","Maille OI (offres commercialisées sur le marché de détail - Autofourniture)","type_valeur","Valeurs Nettes","OC","(vide)"),VUE_KPI_FTTH!A1)</f>
        <v>N/A</v>
      </c>
      <c r="H21" s="63" t="str">
        <f>IFERROR(GETPIVOTDATA("valeur",VUE_KPI_FTTH!$A$7,"codeIndicateur","xxii","unite","Dénominateur","maille","Maille OI (offres commercialisées sur le marché de détail - Autofourniture)","type_valeur","Valeurs Brutes","OC","(vide)"),VUE_KPI_FTTH!A1)</f>
        <v>N/A</v>
      </c>
      <c r="I21" s="62" t="str">
        <f>IFERROR(GETPIVOTDATA("valeur",VUE_KPI_FTTH!$A$7,"codeIndicateur","xxii","unite","Dénominateur","maille","Maille d'appréciation","type_valeur","Valeurs Nettes","OC","(vide)"),VUE_KPI_FTTH!A1)</f>
        <v>N/A</v>
      </c>
      <c r="J21" s="63" t="str">
        <f>IFERROR(GETPIVOTDATA("valeur",VUE_KPI_FTTH!$A$7,"codeIndicateur","xxii","unite","Dénominateur","maille","Maille d'appréciation","type_valeur","Valeurs Brutes","OC","(vide)"),VUE_KPI_FTTH!A1)</f>
        <v>N/A</v>
      </c>
      <c r="K21" s="67" t="e">
        <f t="shared" ca="1" si="0"/>
        <v>#NAME?</v>
      </c>
    </row>
    <row r="22" spans="1:11" ht="30" customHeight="1" x14ac:dyDescent="0.25">
      <c r="A22" s="111"/>
      <c r="B22" s="5" t="s">
        <v>3</v>
      </c>
      <c r="C22" s="64" t="str">
        <f t="shared" ref="C22:J22" si="5">IF(OR(C21="",C21="N/A",C21="NC",C21="ND"),"",C20/C21)</f>
        <v/>
      </c>
      <c r="D22" s="64" t="str">
        <f t="shared" si="5"/>
        <v/>
      </c>
      <c r="E22" s="64" t="str">
        <f t="shared" si="5"/>
        <v/>
      </c>
      <c r="F22" s="64" t="str">
        <f t="shared" si="5"/>
        <v/>
      </c>
      <c r="G22" s="64" t="str">
        <f t="shared" si="5"/>
        <v/>
      </c>
      <c r="H22" s="64" t="str">
        <f t="shared" si="5"/>
        <v/>
      </c>
      <c r="I22" s="64" t="str">
        <f t="shared" si="5"/>
        <v/>
      </c>
      <c r="J22" s="64" t="str">
        <f t="shared" si="5"/>
        <v/>
      </c>
      <c r="K22" s="67" t="e">
        <f t="shared" ca="1" si="0"/>
        <v>#NAME?</v>
      </c>
    </row>
    <row r="23" spans="1:11" ht="30" customHeight="1" x14ac:dyDescent="0.25">
      <c r="A23" s="117" t="s">
        <v>32</v>
      </c>
      <c r="B23" s="8" t="s">
        <v>1</v>
      </c>
      <c r="C23" s="60">
        <f>IFERROR(GETPIVOTDATA("valeur",VUE_KPI_FTTH!$A$7,"codeIndicateur","xxvii","unite","Numérateur","maille","Maille OI","type_valeur","Valeurs Nettes","OC","(vide)"),VUE_KPI_FTTH!A1)</f>
        <v>0</v>
      </c>
      <c r="D23" s="61">
        <f>IFERROR(GETPIVOTDATA("valeur",VUE_KPI_FTTH!$A$7,"codeIndicateur","xxvii","unite","Numérateur","maille","Maille OI","type_valeur","Valeurs Brutes","OC","(vide)"),VUE_KPI_FTTH!A1)</f>
        <v>0</v>
      </c>
      <c r="E23" s="60" t="str">
        <f>IFERROR(GETPIVOTDATA("valeur",VUE_KPI_FTTH!$A$7,"codeIndicateur","xxvii","unite","Numérateur","maille","Maille OI (offres commercialisées sur le marché de gros activé)","type_valeur","Valeurs Nettes","OC","(vide)"),VUE_KPI_FTTH!A1)</f>
        <v>N/A</v>
      </c>
      <c r="F23" s="61" t="str">
        <f>IFERROR(GETPIVOTDATA("valeur",VUE_KPI_FTTH!$A$7,"codeIndicateur","xxvii","unite","Numérateur","maille","Maille OI (offres commercialisées sur le marché de gros activé)","type_valeur","Valeurs Brutes","OC","(vide)"),VUE_KPI_FTTH!A1)</f>
        <v>N/A</v>
      </c>
      <c r="G23" s="60" t="str">
        <f>IFERROR(GETPIVOTDATA("valeur",VUE_KPI_FTTH!$A$7,"codeIndicateur","xxvii","unite","Numérateur","maille","Maille OI (offres commercialisées sur le marché de détail - Autofourniture)","type_valeur","Valeurs Nettes","OC","(vide)"),VUE_KPI_FTTH!A1)</f>
        <v>N/A</v>
      </c>
      <c r="H23" s="61" t="str">
        <f>IFERROR(GETPIVOTDATA("valeur",VUE_KPI_FTTH!$A$7,"codeIndicateur","xxvii","unite","Numérateur","maille","Maille OI (offres commercialisées sur le marché de détail - Autofourniture)","type_valeur","Valeurs Brutes","OC","(vide)"),VUE_KPI_FTTH!A1)</f>
        <v>N/A</v>
      </c>
      <c r="I23" s="60" t="str">
        <f>IFERROR(GETPIVOTDATA("valeur",VUE_KPI_FTTH!$A$7,"codeIndicateur","xxvii","unite","Numérateur","maille","Maille d'appréciation","type_valeur","Valeurs Nettes","OC","(vide)"),VUE_KPI_FTTH!A1)</f>
        <v>N/A</v>
      </c>
      <c r="J23" s="61" t="str">
        <f>IFERROR(GETPIVOTDATA("valeur",VUE_KPI_FTTH!$A$7,"codeIndicateur","xxvii","unite","Numérateur","maille","Maille d'appréciation","type_valeur","Valeurs Brutes","OC","(vide)"),VUE_KPI_FTTH!A1)</f>
        <v>N/A</v>
      </c>
      <c r="K23" s="67" t="e">
        <f t="shared" ca="1" si="0"/>
        <v>#NAME?</v>
      </c>
    </row>
    <row r="24" spans="1:11" ht="30" customHeight="1" x14ac:dyDescent="0.25">
      <c r="A24" s="118"/>
      <c r="B24" s="5" t="s">
        <v>2</v>
      </c>
      <c r="C24" s="62">
        <f>IFERROR(GETPIVOTDATA("valeur",VUE_KPI_FTTH!$A$7,"codeIndicateur","xxvii","unite","Dénominateur","maille","Maille OI","type_valeur","Valeurs Nettes","OC","(vide)"),VUE_KPI_FTTH!A1)</f>
        <v>8760</v>
      </c>
      <c r="D24" s="63">
        <f>IFERROR(GETPIVOTDATA("valeur",VUE_KPI_FTTH!$A$7,"codeIndicateur","xxvii","unite","Dénominateur","maille","Maille OI","type_valeur","Valeurs Brutes","OC","(vide)"),VUE_KPI_FTTH!A1)</f>
        <v>8760</v>
      </c>
      <c r="E24" s="62" t="str">
        <f>IFERROR(GETPIVOTDATA("valeur",VUE_KPI_FTTH!$A$7,"codeIndicateur","xxvii","unite","Dénominateur","maille","Maille OI (offres commercialisées sur le marché de gros activé)","type_valeur","Valeurs Nettes","OC","(vide)"),VUE_KPI_FTTH!A1)</f>
        <v>N/A</v>
      </c>
      <c r="F24" s="63" t="str">
        <f>IFERROR(GETPIVOTDATA("valeur",VUE_KPI_FTTH!$A$7,"codeIndicateur","xxvii","unite","Dénominateur","maille","Maille OI (offres commercialisées sur le marché de gros activé)","type_valeur","Valeurs Brutes","OC","(vide)"),VUE_KPI_FTTH!A1)</f>
        <v>N/A</v>
      </c>
      <c r="G24" s="62">
        <f>IFERROR(GETPIVOTDATA("valeur",VUE_KPI_FTTH!$A$7,"codeIndicateur","xxvii","unite","Dénominateur","maille","Maille OI (offres commercialisées sur le marché de détail - Autofourniture)","type_valeur","Valeurs Nettes","OC","(vide)"),VUE_KPI_FTTH!A1)</f>
        <v>8760</v>
      </c>
      <c r="H24" s="63">
        <f>IFERROR(GETPIVOTDATA("valeur",VUE_KPI_FTTH!$A$7,"codeIndicateur","xxvii","unite","Dénominateur","maille","Maille OI (offres commercialisées sur le marché de détail - Autofourniture)","type_valeur","Valeurs Brutes","OC","(vide)"),VUE_KPI_FTTH!A1)</f>
        <v>8760</v>
      </c>
      <c r="I24" s="62" t="str">
        <f>IFERROR(GETPIVOTDATA("valeur",VUE_KPI_FTTH!$A$7,"codeIndicateur","xxvii","unite","Dénominateur","maille","Maille d'appréciation","type_valeur","Valeurs Nettes","OC","(vide)"),VUE_KPI_FTTH!A1)</f>
        <v>N/A</v>
      </c>
      <c r="J24" s="63" t="str">
        <f>IFERROR(GETPIVOTDATA("valeur",VUE_KPI_FTTH!$A$7,"codeIndicateur","xxvii","unite","Dénominateur","maille","Maille d'appréciation","type_valeur","Valeurs Brutes","OC","(vide)"),VUE_KPI_FTTH!A1)</f>
        <v>N/A</v>
      </c>
      <c r="K24" s="67" t="e">
        <f t="shared" ca="1" si="0"/>
        <v>#NAME?</v>
      </c>
    </row>
    <row r="25" spans="1:11" ht="30" customHeight="1" x14ac:dyDescent="0.25">
      <c r="A25" s="111"/>
      <c r="B25" s="5" t="s">
        <v>3</v>
      </c>
      <c r="C25" s="64">
        <f t="shared" ref="C25:J25" si="6">IF(OR(C24="",C24="N/A",C24="NC",C24="ND"),"",C23/C24)</f>
        <v>0</v>
      </c>
      <c r="D25" s="64">
        <f t="shared" si="6"/>
        <v>0</v>
      </c>
      <c r="E25" s="64" t="str">
        <f t="shared" si="6"/>
        <v/>
      </c>
      <c r="F25" s="64" t="str">
        <f t="shared" si="6"/>
        <v/>
      </c>
      <c r="G25" s="64" t="e">
        <f t="shared" si="6"/>
        <v>#VALUE!</v>
      </c>
      <c r="H25" s="64" t="e">
        <f t="shared" si="6"/>
        <v>#VALUE!</v>
      </c>
      <c r="I25" s="64" t="str">
        <f t="shared" si="6"/>
        <v/>
      </c>
      <c r="J25" s="64" t="str">
        <f t="shared" si="6"/>
        <v/>
      </c>
      <c r="K25" s="67"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abSelected="1" topLeftCell="A31" zoomScale="80" zoomScaleNormal="80" workbookViewId="0">
      <selection activeCell="H37" sqref="H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76" customWidth="1"/>
    <col min="10" max="16384" width="11.5703125" style="25"/>
  </cols>
  <sheetData>
    <row r="1" spans="1:9" ht="40.15" customHeight="1" x14ac:dyDescent="0.25">
      <c r="A1" s="4"/>
      <c r="B1" s="4"/>
      <c r="C1" s="116" t="s">
        <v>0</v>
      </c>
      <c r="D1" s="116"/>
      <c r="E1" s="116" t="s">
        <v>69</v>
      </c>
      <c r="F1" s="116"/>
      <c r="G1" s="116" t="s">
        <v>70</v>
      </c>
      <c r="H1" s="11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13" t="s">
        <v>4</v>
      </c>
      <c r="B3" s="114"/>
      <c r="C3" s="114"/>
      <c r="D3" s="114"/>
      <c r="E3" s="114"/>
      <c r="F3" s="114"/>
      <c r="G3" s="114"/>
      <c r="H3" s="115"/>
    </row>
    <row r="4" spans="1:9" ht="30" customHeight="1" x14ac:dyDescent="0.25">
      <c r="A4" s="117" t="s">
        <v>42</v>
      </c>
      <c r="B4" s="8" t="s">
        <v>1</v>
      </c>
      <c r="C4" s="60" t="str">
        <f>IFERROR(GETPIVOTDATA("valeur",VUE_KPI_FTTH!$A$7,"codeIndicateur","xxviii","unite","Numérateur","maille","Maille OI","type_valeur","Valeurs Nettes","OC","(vide)"),VUE_KPI_FTTH!A1)</f>
        <v>N/A</v>
      </c>
      <c r="D4" s="61">
        <f>IFERROR(GETPIVOTDATA("valeur",VUE_KPI_FTTH!$A$7,"codeIndicateur","xxviii","unite","Numérateur","maille","Maille OI","type_valeur","Valeurs Brutes","OC","(vide)"),VUE_KPI_FTTH!A2)</f>
        <v>0</v>
      </c>
      <c r="E4" s="60" t="str">
        <f>IFERROR(GETPIVOTDATA("valeur",VUE_KPI_FTTH!$A$7,"codeIndicateur","xxviii","unite","Numérateur","maille","Maille OI (offres commercialisées sur le marché de gros activé)","type_valeur","Valeurs Nettes","OC","(vide)"),VUE_KPI_FTTH!A1)</f>
        <v>N/A</v>
      </c>
      <c r="F4" s="61">
        <f>IFERROR(GETPIVOTDATA("valeur",VUE_KPI_FTTH!$A$7,"codeIndicateur","xxviii","unite","Numérateur","maille","Maille OI (offres commercialisées sur le marché de gros activé)","type_valeur","Valeurs Brutes","OC","(vide)"),VUE_KPI_FTTH!A2)</f>
        <v>0</v>
      </c>
      <c r="G4" s="60" t="str">
        <f>IFERROR(GETPIVOTDATA("valeur",VUE_KPI_FTTH!$A$7,"codeIndicateur","xxviii","unite","Numérateur","maille","Maille OI (offres commercialisées sur le marché de détail - Autofourniture)","type_valeur","Valeurs Nettes","OC","(vide)"),VUE_KPI_FTTH!A1)</f>
        <v>N/A</v>
      </c>
      <c r="H4" s="61">
        <f>IFERROR(GETPIVOTDATA("valeur",VUE_KPI_FTTH!$A$7,"codeIndicateur","xxviii","unite","Numérateur","maille","Maille OI (offres commercialisées sur le marché de détail - Autofourniture)","type_valeur","Valeurs Brutes","OC","(vide)"),VUE_KPI_FTTH!A2)</f>
        <v>0</v>
      </c>
      <c r="I4" s="6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18"/>
      <c r="B5" s="5" t="s">
        <v>2</v>
      </c>
      <c r="C5" s="62" t="str">
        <f>IFERROR(GETPIVOTDATA("valeur",VUE_KPI_FTTH!$A$7,"codeIndicateur","xxviii","unite","Dénominateur","maille","Maille OI","type_valeur","Valeurs Nettes","OC","(vide)"),VUE_KPI_FTTH!A1)</f>
        <v>N/A</v>
      </c>
      <c r="D5" s="63">
        <f>IFERROR(GETPIVOTDATA("valeur",VUE_KPI_FTTH!$A$7,"codeIndicateur","xxviii","unite","Dénominateur","maille","Maille OI","type_valeur","Valeurs Brutes","OC","(vide)"),VUE_KPI_FTTH!A2)</f>
        <v>687</v>
      </c>
      <c r="E5" s="62" t="str">
        <f>IFERROR(GETPIVOTDATA("valeur",VUE_KPI_FTTH!$A$7,"codeIndicateur","xxviii","unite","Dénominateur","maille","Maille OI (offres commercialisées sur le marché de gros activé)","type_valeur","Valeurs Nettes","OC","(vide)"),VUE_KPI_FTTH!A1)</f>
        <v>N/A</v>
      </c>
      <c r="F5" s="63">
        <f>IFERROR(GETPIVOTDATA("valeur",VUE_KPI_FTTH!$A$7,"codeIndicateur","xxviii","unite","Dénominateur","maille","Maille OI (offres commercialisées sur le marché de gros activé)","type_valeur","Valeurs Brutes","OC","(vide)"),VUE_KPI_FTTH!A2)</f>
        <v>0</v>
      </c>
      <c r="G5" s="62" t="str">
        <f>IFERROR(GETPIVOTDATA("valeur",VUE_KPI_FTTH!$A$7,"codeIndicateur","xxviii","unite","Dénominateur","maille","Maille OI (offres commercialisées sur le marché de détail - Autofourniture)","type_valeur","Valeurs Nettes","OC","(vide)"),VUE_KPI_FTTH!A1)</f>
        <v>N/A</v>
      </c>
      <c r="H5" s="63">
        <f>IFERROR(GETPIVOTDATA("valeur",VUE_KPI_FTTH!$A$7,"codeIndicateur","xxviii","unite","Dénominateur","maille","Maille OI (offres commercialisées sur le marché de détail - Autofourniture)","type_valeur","Valeurs Brutes","OC","(vide)"),VUE_KPI_FTTH!A1)</f>
        <v>662</v>
      </c>
      <c r="I5" s="6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11"/>
      <c r="B6" s="5" t="s">
        <v>3</v>
      </c>
      <c r="C6" s="64" t="str">
        <f t="shared" ref="C6:H6" si="1">IF(OR(C5="",C5="N/A",C5="NC",C5="ND"),"",C4/C5)</f>
        <v/>
      </c>
      <c r="D6" s="64">
        <f t="shared" si="1"/>
        <v>0</v>
      </c>
      <c r="E6" s="64" t="str">
        <f t="shared" si="1"/>
        <v/>
      </c>
      <c r="F6" s="64" t="e">
        <f t="shared" si="1"/>
        <v>#DIV/0!</v>
      </c>
      <c r="G6" s="64" t="str">
        <f t="shared" si="1"/>
        <v/>
      </c>
      <c r="H6" s="64">
        <f t="shared" si="1"/>
        <v>0</v>
      </c>
      <c r="I6" s="69" t="e">
        <f t="shared" ca="1" si="0"/>
        <v>#NAME?</v>
      </c>
    </row>
    <row r="7" spans="1:9" ht="30" customHeight="1" x14ac:dyDescent="0.25">
      <c r="A7" s="119" t="s">
        <v>41</v>
      </c>
      <c r="B7" s="8" t="s">
        <v>1</v>
      </c>
      <c r="C7" s="60"/>
      <c r="D7" s="61"/>
      <c r="E7" s="60"/>
      <c r="F7" s="61"/>
      <c r="G7" s="60"/>
      <c r="H7" s="61"/>
      <c r="I7" s="69" t="e">
        <f t="shared" ca="1" si="0"/>
        <v>#NAME?</v>
      </c>
    </row>
    <row r="8" spans="1:9" ht="30" customHeight="1" x14ac:dyDescent="0.25">
      <c r="A8" s="120"/>
      <c r="B8" s="5" t="s">
        <v>2</v>
      </c>
      <c r="C8" s="62"/>
      <c r="D8" s="63"/>
      <c r="E8" s="62"/>
      <c r="F8" s="63"/>
      <c r="G8" s="62"/>
      <c r="H8" s="63"/>
      <c r="I8" s="69" t="e">
        <f t="shared" ca="1" si="0"/>
        <v>#NAME?</v>
      </c>
    </row>
    <row r="9" spans="1:9" ht="30" customHeight="1" x14ac:dyDescent="0.25">
      <c r="A9" s="121"/>
      <c r="B9" s="5" t="s">
        <v>3</v>
      </c>
      <c r="C9" s="64" t="str">
        <f t="shared" ref="C9:H9" si="2">IF(OR(C8="",C8="N/A",C8="NC",C8="ND"),"",C7/C8)</f>
        <v/>
      </c>
      <c r="D9" s="64" t="str">
        <f t="shared" si="2"/>
        <v/>
      </c>
      <c r="E9" s="64" t="str">
        <f t="shared" si="2"/>
        <v/>
      </c>
      <c r="F9" s="64" t="str">
        <f t="shared" si="2"/>
        <v/>
      </c>
      <c r="G9" s="64" t="str">
        <f t="shared" si="2"/>
        <v/>
      </c>
      <c r="H9" s="64" t="str">
        <f t="shared" si="2"/>
        <v/>
      </c>
      <c r="I9" s="69" t="e">
        <f t="shared" ca="1" si="0"/>
        <v>#NAME?</v>
      </c>
    </row>
    <row r="10" spans="1:9" ht="30" customHeight="1" x14ac:dyDescent="0.25">
      <c r="A10" s="119" t="s">
        <v>40</v>
      </c>
      <c r="B10" s="8" t="s">
        <v>1</v>
      </c>
      <c r="C10" s="60"/>
      <c r="D10" s="61"/>
      <c r="E10" s="60"/>
      <c r="F10" s="61"/>
      <c r="G10" s="60"/>
      <c r="H10" s="61"/>
      <c r="I10" s="69" t="e">
        <f t="shared" ca="1" si="0"/>
        <v>#NAME?</v>
      </c>
    </row>
    <row r="11" spans="1:9" ht="30" customHeight="1" x14ac:dyDescent="0.25">
      <c r="A11" s="120"/>
      <c r="B11" s="5" t="s">
        <v>2</v>
      </c>
      <c r="C11" s="62"/>
      <c r="D11" s="63"/>
      <c r="E11" s="62"/>
      <c r="F11" s="63"/>
      <c r="G11" s="62"/>
      <c r="H11" s="63"/>
      <c r="I11" s="69" t="e">
        <f t="shared" ca="1" si="0"/>
        <v>#NAME?</v>
      </c>
    </row>
    <row r="12" spans="1:9" ht="30" customHeight="1" x14ac:dyDescent="0.25">
      <c r="A12" s="121"/>
      <c r="B12" s="5" t="s">
        <v>3</v>
      </c>
      <c r="C12" s="64" t="str">
        <f t="shared" ref="C12:H12" si="3">IF(OR(C11="",C11="N/A",C11="NC",C11="ND"),"",C10/C11)</f>
        <v/>
      </c>
      <c r="D12" s="64" t="str">
        <f t="shared" si="3"/>
        <v/>
      </c>
      <c r="E12" s="64" t="str">
        <f t="shared" si="3"/>
        <v/>
      </c>
      <c r="F12" s="64" t="str">
        <f t="shared" si="3"/>
        <v/>
      </c>
      <c r="G12" s="64" t="str">
        <f t="shared" si="3"/>
        <v/>
      </c>
      <c r="H12" s="64" t="str">
        <f t="shared" si="3"/>
        <v/>
      </c>
      <c r="I12" s="69" t="e">
        <f t="shared" ca="1" si="0"/>
        <v>#NAME?</v>
      </c>
    </row>
    <row r="13" spans="1:9" ht="30" customHeight="1" x14ac:dyDescent="0.25">
      <c r="A13" s="117" t="s">
        <v>33</v>
      </c>
      <c r="B13" s="8" t="s">
        <v>1</v>
      </c>
      <c r="C13" s="60" t="str">
        <f>IFERROR(GETPIVOTDATA("valeur",VUE_KPI_FTTH!$A$7,"codeIndicateur","xxix","unite","Numérateur","maille","Maille OI","type_valeur","Valeurs Nettes","OC","(vide)"),VUE_KPI_FTTH!A1)</f>
        <v>N/A</v>
      </c>
      <c r="D13" s="61">
        <f>IFERROR(GETPIVOTDATA("valeur",VUE_KPI_FTTH!$A$7,"codeIndicateur","xxix","unite","Numérateur","maille","Maille OI","type_valeur","Valeurs Brutes","OC","(vide)"),VUE_KPI_FTTH!A2)</f>
        <v>1</v>
      </c>
      <c r="E13" s="60" t="str">
        <f>IFERROR(GETPIVOTDATA("valeur",VUE_KPI_FTTH!$A$7,"codeIndicateur","xxix","unite","Numérateur","maille","Maille OI (offres commercialisées sur le marché de gros activé)","type_valeur","Valeurs Nettes","OC","(vide)"),VUE_KPI_FTTH!A1)</f>
        <v>N/A</v>
      </c>
      <c r="F13" s="61">
        <f>IFERROR(GETPIVOTDATA("valeur",VUE_KPI_FTTH!$A$7,"codeIndicateur","xxix","unite","Numérateur","maille","Maille OI (offres commercialisées sur le marché de gros activé)","type_valeur","Valeurs Brutes","OC","(vide)"),VUE_KPI_FTTH!A2)</f>
        <v>0</v>
      </c>
      <c r="G13" s="60" t="str">
        <f>IFERROR(GETPIVOTDATA("valeur",VUE_KPI_FTTH!$A$7,"codeIndicateur","xxix","unite","Numérateur","maille","Maille OI (offres commercialisées sur le marché de détail - Autofourniture)","type_valeur","Valeurs Nettes","OC","(vide)"),VUE_KPI_FTTH!A1)</f>
        <v>N/A</v>
      </c>
      <c r="H13" s="61">
        <f>IFERROR(GETPIVOTDATA("valeur",VUE_KPI_FTTH!$A$7,"codeIndicateur","xxix","unite","Numérateur","maille","Maille OI (offres commercialisées sur le marché de détail - Autofourniture)","type_valeur","Valeurs Brutes","OC","(vide)"),VUE_KPI_FTTH!A1)</f>
        <v>1</v>
      </c>
      <c r="I13" s="69" t="e">
        <f t="shared" ca="1" si="0"/>
        <v>#NAME?</v>
      </c>
    </row>
    <row r="14" spans="1:9" ht="30" customHeight="1" x14ac:dyDescent="0.25">
      <c r="A14" s="118"/>
      <c r="B14" s="5" t="s">
        <v>2</v>
      </c>
      <c r="C14" s="62" t="str">
        <f>IFERROR(GETPIVOTDATA("valeur",VUE_KPI_FTTH!$A$7,"codeIndicateur","xxix","unite","Dénominateur","maille","Maille OI","type_valeur","Valeurs Nettes","OC","(vide)"),VUE_KPI_FTTH!A1)</f>
        <v>N/A</v>
      </c>
      <c r="D14" s="63">
        <f>IFERROR(GETPIVOTDATA("valeur",VUE_KPI_FTTH!$A$7,"codeIndicateur","xxix","unite","Dénominateur","maille","Maille OI","type_valeur","Valeurs Brutes","OC","(vide)"),VUE_KPI_FTTH!A2)</f>
        <v>664</v>
      </c>
      <c r="E14" s="62" t="str">
        <f>IFERROR(GETPIVOTDATA("valeur",VUE_KPI_FTTH!$A$7,"codeIndicateur","xxix","unite","Dénominateur","maille","Maille OI (offres commercialisées sur le marché de gros activé)","type_valeur","Valeurs Nettes","OC","(vide)"),VUE_KPI_FTTH!A1)</f>
        <v>N/A</v>
      </c>
      <c r="F14" s="63">
        <f>IFERROR(GETPIVOTDATA("valeur",VUE_KPI_FTTH!$A$7,"codeIndicateur","xxix","unite","Dénominateur","maille","Maille OI (offres commercialisées sur le marché de gros activé)","type_valeur","Valeurs Brutes","OC","(vide)"),VUE_KPI_FTTH!A2)</f>
        <v>0</v>
      </c>
      <c r="G14" s="62" t="str">
        <f>IFERROR(GETPIVOTDATA("valeur",VUE_KPI_FTTH!$A$7,"codeIndicateur","xxix","unite","Dénominateur","maille","Maille OI (offres commercialisées sur le marché de détail - Autofourniture)","type_valeur","Valeurs Nettes","OC","(vide)"),VUE_KPI_FTTH!A1)</f>
        <v>N/A</v>
      </c>
      <c r="H14" s="63">
        <f>IFERROR(GETPIVOTDATA("valeur",VUE_KPI_FTTH!$A$7,"codeIndicateur","xxix","unite","Dénominateur","maille","Maille OI (offres commercialisées sur le marché de détail - Autofourniture)","type_valeur","Valeurs Brutes","OC","(vide)"),VUE_KPI_FTTH!A1)</f>
        <v>639</v>
      </c>
      <c r="I14" s="69" t="e">
        <f t="shared" ca="1" si="0"/>
        <v>#NAME?</v>
      </c>
    </row>
    <row r="15" spans="1:9" ht="30" customHeight="1" x14ac:dyDescent="0.25">
      <c r="A15" s="111"/>
      <c r="B15" s="5" t="s">
        <v>3</v>
      </c>
      <c r="C15" s="64" t="str">
        <f t="shared" ref="C15:H15" si="4">IF(OR(C14="",C14="N/A",C14="NC",C14="ND"),"",C13/C14)</f>
        <v/>
      </c>
      <c r="D15" s="64">
        <f t="shared" si="4"/>
        <v>1.5060240963855422E-3</v>
      </c>
      <c r="E15" s="64" t="str">
        <f t="shared" si="4"/>
        <v/>
      </c>
      <c r="F15" s="64" t="e">
        <f t="shared" si="4"/>
        <v>#DIV/0!</v>
      </c>
      <c r="G15" s="64" t="str">
        <f t="shared" si="4"/>
        <v/>
      </c>
      <c r="H15" s="64">
        <f t="shared" si="4"/>
        <v>1.5649452269170579E-3</v>
      </c>
      <c r="I15" s="69" t="e">
        <f t="shared" ca="1" si="0"/>
        <v>#NAME?</v>
      </c>
    </row>
    <row r="16" spans="1:9" ht="30" customHeight="1" x14ac:dyDescent="0.25">
      <c r="A16" s="117" t="s">
        <v>43</v>
      </c>
      <c r="B16" s="5" t="s">
        <v>75</v>
      </c>
      <c r="C16" s="72" t="str">
        <f>IFERROR(GETPIVOTDATA("valeur",VUE_KPI_FTTH!$A$7,"codeIndicateur","xxx","unite","50e centile","maille","Maille OI","type_valeur","Valeurs Nettes","OC","(vide)"),VUE_KPI_FTTH!A1)</f>
        <v>N/A</v>
      </c>
      <c r="D16" s="73">
        <f>IFERROR(GETPIVOTDATA("valeur",VUE_KPI_FTTH!$A$7,"codeIndicateur","xxx","unite","50e centile","maille","Maille OI","type_valeur","Valeurs Brutes","OC","(vide)"),VUE_KPI_FTTH!A1)</f>
        <v>11.1</v>
      </c>
      <c r="E16" s="72" t="str">
        <f>IFERROR(GETPIVOTDATA("valeur",VUE_KPI_FTTH!$A$7,"codeIndicateur","xxx","unite","50e centile","maille","Maille OI (offres commercialisées sur le marché de gros activé)","type_valeur","Valeurs Nettes","OC","(vide)"),VUE_KPI_FTTH!A1)</f>
        <v>N/A</v>
      </c>
      <c r="F16" s="73" t="str">
        <f>IFERROR(GETPIVOTDATA("valeur",VUE_KPI_FTTH!$A$7,"codeIndicateur","xxx","unite","50e centile","maille","Maille OI (offres commercialisées sur le marché de gros activé)","type_valeur","Valeurs Brutes","OC","(vide)"),VUE_KPI_FTTH!A1)</f>
        <v>N/A</v>
      </c>
      <c r="G16" s="72" t="str">
        <f>IFERROR(GETPIVOTDATA("valeur",VUE_KPI_FTTH!$A$7,"codeIndicateur","xxx","unite","50e centile","maille","Maille OI (offres commercialisées sur le marché de détail - Autofourniture)","type_valeur","Valeurs Nettes","OC","(vide)"),VUE_KPI_FTTH!A1)</f>
        <v>N/A</v>
      </c>
      <c r="H16" s="73">
        <f>IFERROR(GETPIVOTDATA("valeur",VUE_KPI_FTTH!$A$7,"codeIndicateur","xxx","unite","50e centile","maille","Maille OI (offres commercialisées sur le marché de détail - Autofourniture)","type_valeur","Valeurs Brutes","OC","(vide)"),VUE_KPI_FTTH!A1)</f>
        <v>11.2</v>
      </c>
      <c r="I16" s="69" t="e">
        <f t="shared" ca="1" si="0"/>
        <v>#NAME?</v>
      </c>
    </row>
    <row r="17" spans="1:9" ht="30" customHeight="1" x14ac:dyDescent="0.25">
      <c r="A17" s="111"/>
      <c r="B17" s="5" t="s">
        <v>72</v>
      </c>
      <c r="C17" s="74" t="str">
        <f>IFERROR(GETPIVOTDATA("valeur",VUE_KPI_FTTH!$A$7,"codeIndicateur","xxx","unite","95e centile","maille","Maille OI","type_valeur","Valeurs Nettes","OC","(vide)"),VUE_KPI_FTTH!A1)</f>
        <v>N/A</v>
      </c>
      <c r="D17" s="75">
        <f>IFERROR(GETPIVOTDATA("valeur",VUE_KPI_FTTH!$A$7,"codeIndicateur","xxx","unite","95e centile","maille","Maille OI","type_valeur","Valeurs Brutes","OC","(vide)"),VUE_KPI_FTTH!A1)</f>
        <v>30.5</v>
      </c>
      <c r="E17" s="74" t="str">
        <f>IFERROR(GETPIVOTDATA("valeur",VUE_KPI_FTTH!$A$7,"codeIndicateur","xxx","unite","95e centile","maille","Maille OI (offres commercialisées sur le marché de gros activé)","type_valeur","Valeurs Nettes","OC","(vide)"),VUE_KPI_FTTH!A1)</f>
        <v>N/A</v>
      </c>
      <c r="F17" s="75" t="str">
        <f>IFERROR(GETPIVOTDATA("valeur",VUE_KPI_FTTH!$A$7,"codeIndicateur","xxx","unite","95e centile","maille","Maille OI (offres commercialisées sur le marché de gros activé)","type_valeur","Valeurs Brutes","OC","(vide)"),VUE_KPI_FTTH!A1)</f>
        <v>N/A</v>
      </c>
      <c r="G17" s="74" t="str">
        <f>IFERROR(GETPIVOTDATA("valeur",VUE_KPI_FTTH!$A$7,"codeIndicateur","xxx","unite","95e centile","maille","Maille OI (offres commercialisées sur le marché de détail - Autofourniture)","type_valeur","Valeurs Nettes","OC","(vide)"),VUE_KPI_FTTH!A1)</f>
        <v>N/A</v>
      </c>
      <c r="H17" s="75">
        <f>IFERROR(GETPIVOTDATA("valeur",VUE_KPI_FTTH!$A$7,"codeIndicateur","xxx","unite","95e centile","maille","Maille OI (offres commercialisées sur le marché de détail - Autofourniture)","type_valeur","Valeurs Brutes","OC","(vide)"),VUE_KPI_FTTH!A1)</f>
        <v>30.5</v>
      </c>
      <c r="I17" s="69" t="e">
        <f t="shared" ca="1" si="0"/>
        <v>#NAME?</v>
      </c>
    </row>
    <row r="18" spans="1:9" ht="30" customHeight="1" x14ac:dyDescent="0.25">
      <c r="A18" s="117" t="s">
        <v>74</v>
      </c>
      <c r="B18" s="5" t="s">
        <v>75</v>
      </c>
      <c r="C18" s="72" t="str">
        <f>IFERROR(GETPIVOTDATA("valeur",VUE_KPI_FTTH!$A$7,"codeIndicateur","xxxi","unite","50e centile","maille","Maille OI","type_valeur","Valeurs Nettes","OC","(vide)"),VUE_KPI_FTTH!A1)</f>
        <v>N/A</v>
      </c>
      <c r="D18" s="73">
        <f>IFERROR(GETPIVOTDATA("valeur",VUE_KPI_FTTH!$A$7,"codeIndicateur","xxxi","unite","50e centile","maille","Maille OI","type_valeur","Valeurs Brutes","OC","(vide)"),VUE_KPI_FTTH!A1)</f>
        <v>0</v>
      </c>
      <c r="E18" s="72" t="str">
        <f>IFERROR(GETPIVOTDATA("valeur",VUE_KPI_FTTH!$A$7,"codeIndicateur","xxxi","unite","50e centile","maille","Maille OI (offres commercialisées sur le marché de gros activé)","type_valeur","Valeurs Nettes","OC","(vide)"),VUE_KPI_FTTH!A1)</f>
        <v>N/A</v>
      </c>
      <c r="F18" s="73" t="str">
        <f>IFERROR(GETPIVOTDATA("valeur",VUE_KPI_FTTH!$A$7,"codeIndicateur","xxxi","unite","50e centile","maille","Maille OI (offres commercialisées sur le marché de gros activé)","type_valeur","Valeurs Brutes","OC","(vide)"),VUE_KPI_FTTH!A1)</f>
        <v>N/A</v>
      </c>
      <c r="G18" s="72" t="str">
        <f>IFERROR(GETPIVOTDATA("valeur",VUE_KPI_FTTH!$A$7,"codeIndicateur","xxxi","unite","50e centile","maille","Maille OI (offres commercialisées sur le marché de détail - Autofourniture)","type_valeur","Valeurs Nettes","OC","(vide)"),VUE_KPI_FTTH!A1)</f>
        <v>N/A</v>
      </c>
      <c r="H18" s="73">
        <f>IFERROR(GETPIVOTDATA("valeur",VUE_KPI_FTTH!$A$7,"codeIndicateur","xxxi","unite","50e centile","maille","Maille OI (offres commercialisées sur le marché de détail - Autofourniture)","type_valeur","Valeurs Brutes","OC","(vide)"),VUE_KPI_FTTH!A1)</f>
        <v>0</v>
      </c>
      <c r="I18" s="69" t="e">
        <f t="shared" ca="1" si="0"/>
        <v>#NAME?</v>
      </c>
    </row>
    <row r="19" spans="1:9" ht="30" customHeight="1" x14ac:dyDescent="0.25">
      <c r="A19" s="111"/>
      <c r="B19" s="5" t="s">
        <v>72</v>
      </c>
      <c r="C19" s="74" t="str">
        <f>IFERROR(GETPIVOTDATA("valeur",VUE_KPI_FTTH!$A$7,"codeIndicateur","xxxi","unite","95e centile","maille","Maille OI","type_valeur","Valeurs Nettes","OC","(vide)"),VUE_KPI_FTTH!A1)</f>
        <v>N/A</v>
      </c>
      <c r="D19" s="75">
        <f>IFERROR(GETPIVOTDATA("valeur",VUE_KPI_FTTH!$A$7,"codeIndicateur","xxxi","unite","95e centile","maille","Maille OI","type_valeur","Valeurs Brutes","OC","(vide)"),VUE_KPI_FTTH!A1)</f>
        <v>0.2</v>
      </c>
      <c r="E19" s="74" t="str">
        <f>IFERROR(GETPIVOTDATA("valeur",VUE_KPI_FTTH!$A$7,"codeIndicateur","xxxi","unite","95e centile","maille","Maille OI (offres commercialisées sur le marché de gros activé)","type_valeur","Valeurs Nettes","OC","(vide)"),VUE_KPI_FTTH!A1)</f>
        <v>N/A</v>
      </c>
      <c r="F19" s="75" t="str">
        <f>IFERROR(GETPIVOTDATA("valeur",VUE_KPI_FTTH!$A$7,"codeIndicateur","xxxi","unite","95e centile","maille","Maille OI (offres commercialisées sur le marché de gros activé)","type_valeur","Valeurs Brutes","OC","(vide)"),VUE_KPI_FTTH!A1)</f>
        <v>N/A</v>
      </c>
      <c r="G19" s="74" t="str">
        <f>IFERROR(GETPIVOTDATA("valeur",VUE_KPI_FTTH!$A$7,"codeIndicateur","xxxi","unite","95e centile","maille","Maille OI (offres commercialisées sur le marché de détail - Autofourniture)","type_valeur","Valeurs Nettes","OC","(vide)"),VUE_KPI_FTTH!A1)</f>
        <v>N/A</v>
      </c>
      <c r="H19" s="75">
        <f>IFERROR(GETPIVOTDATA("valeur",VUE_KPI_FTTH!$A$7,"codeIndicateur","xxxi","unite","95e centile","maille","Maille OI (offres commercialisées sur le marché de détail - Autofourniture)","type_valeur","Valeurs Brutes","OC","(vide)"),VUE_KPI_FTTH!A1)</f>
        <v>0.1</v>
      </c>
      <c r="I19" s="69" t="e">
        <f t="shared" ca="1" si="0"/>
        <v>#NAME?</v>
      </c>
    </row>
    <row r="20" spans="1:9" ht="30" customHeight="1" x14ac:dyDescent="0.25">
      <c r="A20" s="117" t="s">
        <v>45</v>
      </c>
      <c r="B20" s="5" t="s">
        <v>1</v>
      </c>
      <c r="C20" s="60" t="str">
        <f>IFERROR(GETPIVOTDATA("valeur",VUE_KPI_FTTH!$A$7,"codeIndicateur","xxxii","unite","Numérateur","maille","Maille OI","type_valeur","Valeurs Nettes","OC","(vide)"),VUE_KPI_FTTH!A1)</f>
        <v>N/A</v>
      </c>
      <c r="D20" s="61">
        <f>IFERROR(GETPIVOTDATA("valeur",VUE_KPI_FTTH!$A$7,"codeIndicateur","xxxii","unite","Numérateur","maille","Maille OI","type_valeur","Valeurs Brutes","OC","(vide)"),VUE_KPI_FTTH!A2)</f>
        <v>173</v>
      </c>
      <c r="E20" s="60" t="str">
        <f>IFERROR(GETPIVOTDATA("valeur",VUE_KPI_FTTH!$A$7,"codeIndicateur","xxxii","unite","Numérateur","maille","Maille OI (offres commercialisées sur le marché de gros activé)","type_valeur","Valeurs Nettes","OC","(vide)"),VUE_KPI_FTTH!A1)</f>
        <v>N/A</v>
      </c>
      <c r="F20" s="61">
        <f>IFERROR(GETPIVOTDATA("valeur",VUE_KPI_FTTH!$A$7,"codeIndicateur","xxxii","unite","Numérateur","maille","Maille OI (offres commercialisées sur le marché de gros activé)","type_valeur","Valeurs Brutes","OC","(vide)"),VUE_KPI_FTTH!A2)</f>
        <v>0</v>
      </c>
      <c r="G20" s="60" t="str">
        <f>IFERROR(GETPIVOTDATA("valeur",VUE_KPI_FTTH!$A$7,"codeIndicateur","xxxii","unite","Numérateur","maille","Maille OI (offres commercialisées sur le marché de détail - Autofourniture)","type_valeur","Valeurs Nettes","OC","(vide)"),VUE_KPI_FTTH!A1)</f>
        <v>N/A</v>
      </c>
      <c r="H20" s="61">
        <f>IFERROR(GETPIVOTDATA("valeur",VUE_KPI_FTTH!$A$7,"codeIndicateur","xxxii","unite","Numérateur","maille","Maille OI (offres commercialisées sur le marché de détail - Autofourniture)","type_valeur","Valeurs Brutes","OC","(vide)"),VUE_KPI_FTTH!A1)</f>
        <v>172</v>
      </c>
      <c r="I20" s="69" t="e">
        <f t="shared" ca="1" si="0"/>
        <v>#NAME?</v>
      </c>
    </row>
    <row r="21" spans="1:9" ht="30" customHeight="1" x14ac:dyDescent="0.25">
      <c r="A21" s="118"/>
      <c r="B21" s="5" t="s">
        <v>2</v>
      </c>
      <c r="C21" s="62" t="str">
        <f>IFERROR(GETPIVOTDATA("valeur",VUE_KPI_FTTH!$A$7,"codeIndicateur","xxxii","unite","Dénominateur","maille","Maille OI","type_valeur","Valeurs Nettes","OC","(vide)"),VUE_KPI_FTTH!A1)</f>
        <v>N/A</v>
      </c>
      <c r="D21" s="63">
        <f>IFERROR(GETPIVOTDATA("valeur",VUE_KPI_FTTH!$A$7,"codeIndicateur","xxxii","unite","Dénominateur","maille","Maille OI","type_valeur","Valeurs Brutes","OC","(vide)"),VUE_KPI_FTTH!A2)</f>
        <v>736</v>
      </c>
      <c r="E21" s="62" t="str">
        <f>IFERROR(GETPIVOTDATA("valeur",VUE_KPI_FTTH!$A$7,"codeIndicateur","xxxii","unite","Dénominateur","maille","Maille OI (offres commercialisées sur le marché de gros activé)","type_valeur","Valeurs Nettes","OC","(vide)"),VUE_KPI_FTTH!A1)</f>
        <v>N/A</v>
      </c>
      <c r="F21" s="63">
        <f>IFERROR(GETPIVOTDATA("valeur",VUE_KPI_FTTH!$A$7,"codeIndicateur","xxxii","unite","Dénominateur","maille","Maille OI (offres commercialisées sur le marché de gros activé)","type_valeur","Valeurs Brutes","OC","(vide)"),VUE_KPI_FTTH!A2)</f>
        <v>0</v>
      </c>
      <c r="G21" s="62" t="str">
        <f>IFERROR(GETPIVOTDATA("valeur",VUE_KPI_FTTH!$A$7,"codeIndicateur","xxxii","unite","Dénominateur","maille","Maille OI (offres commercialisées sur le marché de détail - Autofourniture)","type_valeur","Valeurs Nettes","OC","(vide)"),VUE_KPI_FTTH!A1)</f>
        <v>N/A</v>
      </c>
      <c r="H21" s="63">
        <f>IFERROR(GETPIVOTDATA("valeur",VUE_KPI_FTTH!$A$7,"codeIndicateur","xxxii","unite","Dénominateur","maille","Maille OI (offres commercialisées sur le marché de détail - Autofourniture)","type_valeur","Valeurs Brutes","OC","(vide)"),VUE_KPI_FTTH!A1)</f>
        <v>719</v>
      </c>
      <c r="I21" s="69" t="e">
        <f t="shared" ca="1" si="0"/>
        <v>#NAME?</v>
      </c>
    </row>
    <row r="22" spans="1:9" ht="30" customHeight="1" x14ac:dyDescent="0.25">
      <c r="A22" s="111"/>
      <c r="B22" s="5" t="s">
        <v>3</v>
      </c>
      <c r="C22" s="64" t="str">
        <f t="shared" ref="C22:H22" si="5">IF(OR(C21="",C21="N/A",C21="NC",C21="ND"),"",C20/C21)</f>
        <v/>
      </c>
      <c r="D22" s="64">
        <f t="shared" si="5"/>
        <v>0.23505434782608695</v>
      </c>
      <c r="E22" s="64" t="str">
        <f t="shared" si="5"/>
        <v/>
      </c>
      <c r="F22" s="64" t="e">
        <f t="shared" si="5"/>
        <v>#DIV/0!</v>
      </c>
      <c r="G22" s="64" t="str">
        <f t="shared" si="5"/>
        <v/>
      </c>
      <c r="H22" s="64">
        <f t="shared" si="5"/>
        <v>0.23922114047287898</v>
      </c>
      <c r="I22" s="69" t="e">
        <f t="shared" ca="1" si="0"/>
        <v>#NAME?</v>
      </c>
    </row>
    <row r="23" spans="1:9" ht="30" customHeight="1" x14ac:dyDescent="0.25">
      <c r="A23" s="117" t="s">
        <v>34</v>
      </c>
      <c r="B23" s="5" t="s">
        <v>1</v>
      </c>
      <c r="C23" s="60" t="str">
        <f>IFERROR(GETPIVOTDATA("valeur",VUE_KPI_FTTH!$A$7,"codeIndicateur","xxxiii","unite","Numérateur","maille","Maille OI","type_valeur","Valeurs Nettes","OC","(vide)"),VUE_KPI_FTTH!A1)</f>
        <v>N/A</v>
      </c>
      <c r="D23" s="61">
        <f>IFERROR(GETPIVOTDATA("valeur",VUE_KPI_FTTH!$A$7,"codeIndicateur","xxxiii","unite","Numérateur","maille","Maille OI","type_valeur","Valeurs Brutes","OC","(vide)"),VUE_KPI_FTTH!A1)</f>
        <v>15322</v>
      </c>
      <c r="E23" s="60" t="str">
        <f>IFERROR(GETPIVOTDATA("valeur",VUE_KPI_FTTH!$A$7,"codeIndicateur","xxxiii","unite","Numérateur","maille","Maille OI (offres commercialisées sur le marché de gros activé)","type_valeur","Valeurs Nettes","OC","(vide)"),VUE_KPI_FTTH!A1)</f>
        <v>N/A</v>
      </c>
      <c r="F23" s="61">
        <f>IFERROR(GETPIVOTDATA("valeur",VUE_KPI_FTTH!$A$7,"codeIndicateur","xxxiii","unite","Numérateur","maille","Maille OI (offres commercialisées sur le marché de gros activé)","type_valeur","Valeurs Brutes","OC","(vide)"),VUE_KPI_FTTH!A1)</f>
        <v>15322</v>
      </c>
      <c r="G23" s="60" t="str">
        <f>IFERROR(GETPIVOTDATA("valeur",VUE_KPI_FTTH!$A$7,"codeIndicateur","xxxiii","unite","Numérateur","maille","Maille OI (offres commercialisées sur le marché de détail - Autofourniture)","type_valeur","Valeurs Nettes","OC","(vide)"),VUE_KPI_FTTH!A1)</f>
        <v>N/A</v>
      </c>
      <c r="H23" s="61">
        <f>IFERROR(GETPIVOTDATA("valeur",VUE_KPI_FTTH!$A$7,"codeIndicateur","xxxiii","unite","Numérateur","maille","Maille OI (offres commercialisées sur le marché de détail - Autofourniture)","type_valeur","Valeurs Brutes","OC","(vide)"),VUE_KPI_FTTH!A1)</f>
        <v>15322</v>
      </c>
      <c r="I23" s="69" t="e">
        <f t="shared" ca="1" si="0"/>
        <v>#NAME?</v>
      </c>
    </row>
    <row r="24" spans="1:9" ht="30" customHeight="1" x14ac:dyDescent="0.25">
      <c r="A24" s="118"/>
      <c r="B24" s="5" t="s">
        <v>2</v>
      </c>
      <c r="C24" s="62" t="str">
        <f>IFERROR(GETPIVOTDATA("valeur",VUE_KPI_FTTH!$A$7,"codeIndicateur","xxxiii","unite","Dénominateur","maille","Maille OI","type_valeur","Valeurs Nettes","OC","(vide)"),VUE_KPI_FTTH!A1)</f>
        <v>N/A</v>
      </c>
      <c r="D24" s="63">
        <f>IFERROR(GETPIVOTDATA("valeur",VUE_KPI_FTTH!$A$7,"codeIndicateur","xxxiii","unite","Dénominateur","maille","Maille OI","type_valeur","Valeurs Brutes","OC","(vide)"),VUE_KPI_FTTH!A1)</f>
        <v>121685</v>
      </c>
      <c r="E24" s="62" t="str">
        <f>IFERROR(GETPIVOTDATA("valeur",VUE_KPI_FTTH!$A$7,"codeIndicateur","xxxiii","unite","Dénominateur","maille","Maille OI (offres commercialisées sur le marché de gros activé)","type_valeur","Valeurs Nettes","OC","(vide)"),VUE_KPI_FTTH!A1)</f>
        <v>N/A</v>
      </c>
      <c r="F24" s="63">
        <f>IFERROR(GETPIVOTDATA("valeur",VUE_KPI_FTTH!$A$7,"codeIndicateur","xxxiii","unite","Dénominateur","maille","Maille OI (offres commercialisées sur le marché de gros activé)","type_valeur","Valeurs Brutes","OC","(vide)"),VUE_KPI_FTTH!A1)</f>
        <v>121685</v>
      </c>
      <c r="G24" s="62" t="str">
        <f>IFERROR(GETPIVOTDATA("valeur",VUE_KPI_FTTH!$A$7,"codeIndicateur","xxxiii","unite","Dénominateur","maille","Maille OI (offres commercialisées sur le marché de détail - Autofourniture)","type_valeur","Valeurs Nettes","OC","(vide)"),VUE_KPI_FTTH!A1)</f>
        <v>N/A</v>
      </c>
      <c r="H24" s="63">
        <f>IFERROR(GETPIVOTDATA("valeur",VUE_KPI_FTTH!$A$7,"codeIndicateur","xxxiii","unite","Dénominateur","maille","Maille OI (offres commercialisées sur le marché de détail - Autofourniture)","type_valeur","Valeurs Brutes","OC","(vide)"),VUE_KPI_FTTH!A1)</f>
        <v>121685</v>
      </c>
      <c r="I24" s="69" t="e">
        <f t="shared" ca="1" si="0"/>
        <v>#NAME?</v>
      </c>
    </row>
    <row r="25" spans="1:9" ht="30" customHeight="1" x14ac:dyDescent="0.25">
      <c r="A25" s="111"/>
      <c r="B25" s="5" t="s">
        <v>3</v>
      </c>
      <c r="C25" s="64" t="str">
        <f t="shared" ref="C25:H25" si="6">IF(OR(C24="",C24="N/A",C24="NC",C24="ND"),"",C23/C24)</f>
        <v/>
      </c>
      <c r="D25" s="64">
        <f t="shared" si="6"/>
        <v>0.1259152730410486</v>
      </c>
      <c r="E25" s="64" t="str">
        <f t="shared" si="6"/>
        <v/>
      </c>
      <c r="F25" s="64">
        <f t="shared" si="6"/>
        <v>0.1259152730410486</v>
      </c>
      <c r="G25" s="64" t="str">
        <f t="shared" si="6"/>
        <v/>
      </c>
      <c r="H25" s="64">
        <f t="shared" si="6"/>
        <v>0.1259152730410486</v>
      </c>
      <c r="I25" s="69" t="e">
        <f t="shared" ca="1" si="0"/>
        <v>#NAME?</v>
      </c>
    </row>
    <row r="26" spans="1:9" ht="19.899999999999999" customHeight="1" x14ac:dyDescent="0.25">
      <c r="A26" s="113" t="s">
        <v>35</v>
      </c>
      <c r="B26" s="114"/>
      <c r="C26" s="114"/>
      <c r="D26" s="114"/>
      <c r="E26" s="114"/>
      <c r="F26" s="114"/>
      <c r="G26" s="114"/>
      <c r="H26" s="115"/>
      <c r="I26" s="69" t="e">
        <f t="shared" ca="1" si="0"/>
        <v>#NAME?</v>
      </c>
    </row>
    <row r="27" spans="1:9" ht="30" customHeight="1" x14ac:dyDescent="0.25">
      <c r="A27" s="117" t="s">
        <v>36</v>
      </c>
      <c r="B27" s="8" t="s">
        <v>1</v>
      </c>
      <c r="C27" s="60" t="str">
        <f>IFERROR(GETPIVOTDATA("valeur",VUE_KPI_FTTH!$A$7,"codeIndicateur","xxxiv","unite","Numérateur","maille","Maille OI","type_valeur","Valeurs Nettes","OC","(vide)"),VUE_KPI_FTTH!A1)</f>
        <v>N/A</v>
      </c>
      <c r="D27" s="61" t="str">
        <f>IFERROR(GETPIVOTDATA("valeur",VUE_KPI_FTTH!$A$7,"codeIndicateur","xxxiv","unite","Numérateur","maille","Maille OI","type_valeur","Valeurs Brutes","OC","(vide)"),VUE_KPI_FTTH!A1)</f>
        <v>N/A</v>
      </c>
      <c r="E27" s="60" t="str">
        <f>IFERROR(GETPIVOTDATA("valeur",VUE_KPI_FTTH!$A$7,"codeIndicateur","xxxiv","unite","Numérateur","maille","Maille OI (offres commercialisées sur le marché de gros activé)","type_valeur","Valeurs Nettes","OC","(vide)"),VUE_KPI_FTTH!A1)</f>
        <v>N/A</v>
      </c>
      <c r="F27" s="61" t="str">
        <f>IFERROR(GETPIVOTDATA("valeur",VUE_KPI_FTTH!$A$7,"codeIndicateur","xxxiv","unite","Numérateur","maille","Maille OI (offres commercialisées sur le marché de gros activé)","type_valeur","Valeurs Brutes","OC","(vide)"),VUE_KPI_FTTH!A1)</f>
        <v>N/A</v>
      </c>
      <c r="G27" s="60" t="str">
        <f>IFERROR(GETPIVOTDATA("valeur",VUE_KPI_FTTH!$A$7,"codeIndicateur","xxxiv","unite","Numérateur","maille","Maille OI (offres commercialisées sur le marché de détail - Autofourniture)","type_valeur","Valeurs Nettes","OC","(vide)"),VUE_KPI_FTTH!A1)</f>
        <v>N/A</v>
      </c>
      <c r="H27" s="61" t="str">
        <f>IFERROR(GETPIVOTDATA("valeur",VUE_KPI_FTTH!$A$7,"codeIndicateur","xxxiv","unite","Numérateur","maille","Maille OI (offres commercialisées sur le marché de détail - Autofourniture)","type_valeur","Valeurs Brutes","OC","(vide)"),VUE_KPI_FTTH!A1)</f>
        <v>N/A</v>
      </c>
      <c r="I27" s="69" t="e">
        <f t="shared" ca="1" si="0"/>
        <v>#NAME?</v>
      </c>
    </row>
    <row r="28" spans="1:9" ht="30" customHeight="1" x14ac:dyDescent="0.25">
      <c r="A28" s="118"/>
      <c r="B28" s="5" t="s">
        <v>2</v>
      </c>
      <c r="C28" s="62" t="str">
        <f>IFERROR(GETPIVOTDATA("valeur",VUE_KPI_FTTH!$A$7,"codeIndicateur","xxxiv","unite","Dénominateur","maille","Maille OI","type_valeur","Valeurs Nettes","OC","(vide)"),VUE_KPI_FTTH!A1)</f>
        <v>N/A</v>
      </c>
      <c r="D28" s="63" t="str">
        <f>IFERROR(GETPIVOTDATA("valeur",VUE_KPI_FTTH!$A$7,"codeIndicateur","xxxiv","unite","Dénominateur","maille","Maille OI","type_valeur","Valeurs Brutes","OC","(vide)"),VUE_KPI_FTTH!A1)</f>
        <v>N/A</v>
      </c>
      <c r="E28" s="62" t="str">
        <f>IFERROR(GETPIVOTDATA("valeur",VUE_KPI_FTTH!$A$7,"codeIndicateur","xxxiv","unite","Dénominateur","maille","Maille OI (offres commercialisées sur le marché de gros activé)","type_valeur","Valeurs Nettes","OC","(vide)"),VUE_KPI_FTTH!A1)</f>
        <v>N/A</v>
      </c>
      <c r="F28" s="63" t="str">
        <f>IFERROR(GETPIVOTDATA("valeur",VUE_KPI_FTTH!$A$7,"codeIndicateur","xxxiv","unite","Dénominateur","maille","Maille OI (offres commercialisées sur le marché de gros activé)","type_valeur","Valeurs Brutes","OC","(vide)"),VUE_KPI_FTTH!A1)</f>
        <v>N/A</v>
      </c>
      <c r="G28" s="62" t="str">
        <f>IFERROR(GETPIVOTDATA("valeur",VUE_KPI_FTTH!$A$7,"codeIndicateur","xxxiv","unite","Dénominateur","maille","Maille OI (offres commercialisées sur le marché de détail - Autofourniture)","type_valeur","Valeurs Nettes","OC","(vide)"),VUE_KPI_FTTH!A1)</f>
        <v>N/A</v>
      </c>
      <c r="H28" s="63" t="str">
        <f>IFERROR(GETPIVOTDATA("valeur",VUE_KPI_FTTH!$A$7,"codeIndicateur","xxxiv","unite","Dénominateur","maille","Maille OI (offres commercialisées sur le marché de détail - Autofourniture)","type_valeur","Valeurs Brutes","OC","(vide)"),VUE_KPI_FTTH!A1)</f>
        <v>N/A</v>
      </c>
      <c r="I28" s="69" t="e">
        <f t="shared" ca="1" si="0"/>
        <v>#NAME?</v>
      </c>
    </row>
    <row r="29" spans="1:9" ht="30" customHeight="1" x14ac:dyDescent="0.25">
      <c r="A29" s="111"/>
      <c r="B29" s="5" t="s">
        <v>3</v>
      </c>
      <c r="C29" s="64" t="str">
        <f t="shared" ref="C29:H29" si="7">IF(OR(C28="",C28="N/A",C28="NC",C28="ND"),"",C27/C28)</f>
        <v/>
      </c>
      <c r="D29" s="64" t="str">
        <f t="shared" si="7"/>
        <v/>
      </c>
      <c r="E29" s="64" t="str">
        <f t="shared" si="7"/>
        <v/>
      </c>
      <c r="F29" s="64" t="str">
        <f t="shared" si="7"/>
        <v/>
      </c>
      <c r="G29" s="64" t="str">
        <f t="shared" si="7"/>
        <v/>
      </c>
      <c r="H29" s="64" t="str">
        <f t="shared" si="7"/>
        <v/>
      </c>
      <c r="I29" s="69" t="e">
        <f t="shared" ca="1" si="0"/>
        <v>#NAME?</v>
      </c>
    </row>
    <row r="30" spans="1:9" ht="30" customHeight="1" x14ac:dyDescent="0.25">
      <c r="A30" s="117" t="s">
        <v>37</v>
      </c>
      <c r="B30" s="8" t="s">
        <v>1</v>
      </c>
      <c r="C30" s="60" t="str">
        <f>IFERROR(GETPIVOTDATA("valeur",VUE_KPI_FTTH!$A$7,"codeIndicateur","xxxv","unite","Numérateur","maille","Maille OI","type_valeur","Valeurs Nettes","OC","(vide)"),VUE_KPI_FTTH!A1)</f>
        <v>N/A</v>
      </c>
      <c r="D30" s="61" t="str">
        <f>IFERROR(GETPIVOTDATA("valeur",VUE_KPI_FTTH!$A$7,"codeIndicateur","xxxv","unite","Numérateur","maille","Maille OI","type_valeur","Valeurs Brutes","OC","(vide)"),VUE_KPI_FTTH!A1)</f>
        <v>N/A</v>
      </c>
      <c r="E30" s="60" t="str">
        <f>IFERROR(GETPIVOTDATA("valeur",VUE_KPI_FTTH!$A$7,"codeIndicateur","xxxv","unite","Numérateur","maille","Maille OI (offres commercialisées sur le marché de gros activé)","type_valeur","Valeurs Nettes","OC","(vide)"),VUE_KPI_FTTH!A1)</f>
        <v>N/A</v>
      </c>
      <c r="F30" s="61" t="str">
        <f>IFERROR(GETPIVOTDATA("valeur",VUE_KPI_FTTH!$A$7,"codeIndicateur","xxxv","unite","Numérateur","maille","Maille OI (offres commercialisées sur le marché de gros activé)","type_valeur","Valeurs Brutes","OC","(vide)"),VUE_KPI_FTTH!A1)</f>
        <v>N/A</v>
      </c>
      <c r="G30" s="60" t="str">
        <f>IFERROR(GETPIVOTDATA("valeur",VUE_KPI_FTTH!$A$7,"codeIndicateur","xxxv","unite","Numérateur","maille","Maille OI (offres commercialisées sur le marché de détail - Autofourniture)","type_valeur","Valeurs Nettes","OC","(vide)"),VUE_KPI_FTTH!A1)</f>
        <v>N/A</v>
      </c>
      <c r="H30" s="61" t="str">
        <f>IFERROR(GETPIVOTDATA("valeur",VUE_KPI_FTTH!$A$7,"codeIndicateur","xxxv","unite","Numérateur","maille","Maille OI (offres commercialisées sur le marché de détail - Autofourniture)","type_valeur","Valeurs Brutes","OC","(vide)"),VUE_KPI_FTTH!A1)</f>
        <v>N/A</v>
      </c>
      <c r="I30" s="69" t="e">
        <f t="shared" ca="1" si="0"/>
        <v>#NAME?</v>
      </c>
    </row>
    <row r="31" spans="1:9" ht="30" customHeight="1" x14ac:dyDescent="0.25">
      <c r="A31" s="118"/>
      <c r="B31" s="5" t="s">
        <v>2</v>
      </c>
      <c r="C31" s="62" t="str">
        <f>IFERROR(GETPIVOTDATA("valeur",VUE_KPI_FTTH!$A$7,"codeIndicateur","xxxv","unite","Dénominateur","maille","Maille OI","type_valeur","Valeurs Nettes","OC","(vide)"),VUE_KPI_FTTH!A1)</f>
        <v>N/A</v>
      </c>
      <c r="D31" s="63" t="str">
        <f>IFERROR(GETPIVOTDATA("valeur",VUE_KPI_FTTH!$A$7,"codeIndicateur","xxxv","unite","Dénominateur","maille","Maille OI","type_valeur","Valeurs Brutes","OC","(vide)"),VUE_KPI_FTTH!A1)</f>
        <v>N/A</v>
      </c>
      <c r="E31" s="62" t="str">
        <f>IFERROR(GETPIVOTDATA("valeur",VUE_KPI_FTTH!$A$7,"codeIndicateur","xxxv","unite","Dénominateur","maille","Maille OI (offres commercialisées sur le marché de gros activé)","type_valeur","Valeurs Nettes","OC","(vide)"),VUE_KPI_FTTH!A1)</f>
        <v>N/A</v>
      </c>
      <c r="F31" s="63" t="str">
        <f>IFERROR(GETPIVOTDATA("valeur",VUE_KPI_FTTH!$A$7,"codeIndicateur","xxxv","unite","Dénominateur","maille","Maille OI (offres commercialisées sur le marché de gros activé)","type_valeur","Valeurs Brutes","OC","(vide)"),VUE_KPI_FTTH!A1)</f>
        <v>N/A</v>
      </c>
      <c r="G31" s="62" t="str">
        <f>IFERROR(GETPIVOTDATA("valeur",VUE_KPI_FTTH!$A$7,"codeIndicateur","xxxv","unite","Dénominateur","maille","Maille OI (offres commercialisées sur le marché de détail - Autofourniture)","type_valeur","Valeurs Nettes","OC","(vide)"),VUE_KPI_FTTH!A1)</f>
        <v>N/A</v>
      </c>
      <c r="H31" s="63" t="str">
        <f>IFERROR(GETPIVOTDATA("valeur",VUE_KPI_FTTH!$A$7,"codeIndicateur","xxxv","unite","Dénominateur","maille","Maille OI (offres commercialisées sur le marché de détail - Autofourniture)","type_valeur","Valeurs Brutes","OC","(vide)"),VUE_KPI_FTTH!A1)</f>
        <v>N/A</v>
      </c>
      <c r="I31" s="69" t="e">
        <f t="shared" ca="1" si="0"/>
        <v>#NAME?</v>
      </c>
    </row>
    <row r="32" spans="1:9" ht="30" customHeight="1" x14ac:dyDescent="0.25">
      <c r="A32" s="111"/>
      <c r="B32" s="5" t="s">
        <v>3</v>
      </c>
      <c r="C32" s="64" t="str">
        <f t="shared" ref="C32:H32" si="8">IF(OR(C31="",C31="N/A",C31="NC",C31="ND"),"",C30/C31)</f>
        <v/>
      </c>
      <c r="D32" s="64" t="str">
        <f t="shared" si="8"/>
        <v/>
      </c>
      <c r="E32" s="64" t="str">
        <f t="shared" si="8"/>
        <v/>
      </c>
      <c r="F32" s="64" t="str">
        <f t="shared" si="8"/>
        <v/>
      </c>
      <c r="G32" s="64" t="str">
        <f t="shared" si="8"/>
        <v/>
      </c>
      <c r="H32" s="64" t="str">
        <f t="shared" si="8"/>
        <v/>
      </c>
      <c r="I32" s="69" t="e">
        <f t="shared" ca="1" si="0"/>
        <v>#NAME?</v>
      </c>
    </row>
    <row r="33" spans="1:9" ht="19.899999999999999" customHeight="1" x14ac:dyDescent="0.25">
      <c r="A33" s="113" t="s">
        <v>5</v>
      </c>
      <c r="B33" s="114"/>
      <c r="C33" s="114"/>
      <c r="D33" s="114"/>
      <c r="E33" s="114"/>
      <c r="F33" s="114"/>
      <c r="G33" s="114"/>
      <c r="H33" s="115"/>
      <c r="I33" s="69" t="e">
        <f t="shared" ca="1" si="0"/>
        <v>#NAME?</v>
      </c>
    </row>
    <row r="34" spans="1:9" ht="30" customHeight="1" x14ac:dyDescent="0.25">
      <c r="A34" s="117" t="s">
        <v>46</v>
      </c>
      <c r="B34" s="8" t="s">
        <v>1</v>
      </c>
      <c r="C34" s="60">
        <f>IFERROR(GETPIVOTDATA("valeur",VUE_KPI_FTTH!$A$7,"codeIndicateur","xxxvi","unite","Numérateur","maille","Maille OI","type_valeur","Valeurs Nettes","OC","(vide)"),VUE_KPI_FTTH!A1)</f>
        <v>1</v>
      </c>
      <c r="D34" s="61">
        <f>IFERROR(GETPIVOTDATA("valeur",VUE_KPI_FTTH!$A$7,"codeIndicateur","xxxvi","unite","Numérateur","maille","Maille OI","type_valeur","Valeurs Brutes","OC","(vide)"),VUE_KPI_FTTH!A1)</f>
        <v>1</v>
      </c>
      <c r="E34" s="60" t="str">
        <f>IFERROR(GETPIVOTDATA("valeur",VUE_KPI_FTTH!$A$7,"codeIndicateur","xxxvi","unite","Numérateur","maille","Maille OI (offres commercialisées sur le marché de gros activé)","type_valeur","Valeurs Nettes","OC","(vide)"),VUE_KPI_FTTH!A1)</f>
        <v>N/A</v>
      </c>
      <c r="F34" s="61" t="str">
        <f>IFERROR(GETPIVOTDATA("valeur",VUE_KPI_FTTH!$A$7,"codeIndicateur","xxxvi","unite","Numérateur","maille","Maille OI (offres commercialisées sur le marché de gros activé)","type_valeur","Valeurs Brutes","OC","(vide)"),VUE_KPI_FTTH!A1)</f>
        <v>N/A</v>
      </c>
      <c r="G34" s="60">
        <f>IFERROR(GETPIVOTDATA("valeur",VUE_KPI_FTTH!$A$7,"codeIndicateur","xxxvi","unite","Numérateur","maille","Maille OI (offres commercialisées sur le marché de détail - Autofourniture)","type_valeur","Valeurs Nettes","OC","(vide)"),VUE_KPI_FTTH!A1)</f>
        <v>1</v>
      </c>
      <c r="H34" s="61">
        <f>IFERROR(GETPIVOTDATA("valeur",VUE_KPI_FTTH!$A$7,"codeIndicateur","xxxvi","unite","Numérateur","maille","Maille OI (offres commercialisées sur le marché de détail - Autofourniture)","type_valeur","Valeurs Brutes","OC","(vide)"),VUE_KPI_FTTH!A1)</f>
        <v>1</v>
      </c>
      <c r="I34" s="69" t="e">
        <f t="shared" ca="1" si="0"/>
        <v>#NAME?</v>
      </c>
    </row>
    <row r="35" spans="1:9" ht="30" customHeight="1" x14ac:dyDescent="0.25">
      <c r="A35" s="118"/>
      <c r="B35" s="5" t="s">
        <v>2</v>
      </c>
      <c r="C35" s="62">
        <f>IFERROR(GETPIVOTDATA("valeur",VUE_KPI_FTTH!$A$7,"codeIndicateur","xxxvi","unite","Dénominateur","maille","Maille OI","type_valeur","Valeurs Nettes","OC","(vide)"),VUE_KPI_FTTH!A1)</f>
        <v>5</v>
      </c>
      <c r="D35" s="63">
        <f>IFERROR(GETPIVOTDATA("valeur",VUE_KPI_FTTH!$A$7,"codeIndicateur","xxxvi","unite","Dénominateur","maille","Maille OI","type_valeur","Valeurs Brutes","OC","(vide)"),VUE_KPI_FTTH!A1)</f>
        <v>5</v>
      </c>
      <c r="E35" s="62" t="str">
        <f>IFERROR(GETPIVOTDATA("valeur",VUE_KPI_FTTH!$A$7,"codeIndicateur","xxxvi","unite","Dénominateur","maille","Maille OI (offres commercialisées sur le marché de gros activé)","type_valeur","Valeurs Nettes","OC","(vide)"),VUE_KPI_FTTH!A1)</f>
        <v>N/A</v>
      </c>
      <c r="F35" s="63" t="str">
        <f>IFERROR(GETPIVOTDATA("valeur",VUE_KPI_FTTH!$A$7,"codeIndicateur","xxxvi","unite","Dénominateur","maille","Maille OI (offres commercialisées sur le marché de gros activé)","type_valeur","Valeurs Brutes","OC","(vide)"),VUE_KPI_FTTH!A1)</f>
        <v>N/A</v>
      </c>
      <c r="G35" s="62">
        <f>IFERROR(GETPIVOTDATA("valeur",VUE_KPI_FTTH!$A$7,"codeIndicateur","xxxvi","unite","Dénominateur","maille","Maille OI (offres commercialisées sur le marché de détail - Autofourniture)","type_valeur","Valeurs Nettes","OC","(vide)"),VUE_KPI_FTTH!A1)</f>
        <v>5</v>
      </c>
      <c r="H35" s="63">
        <f>IFERROR(GETPIVOTDATA("valeur",VUE_KPI_FTTH!$A$7,"codeIndicateur","xxxvi","unite","Dénominateur","maille","Maille OI (offres commercialisées sur le marché de détail - Autofourniture)","type_valeur","Valeurs Brutes","OC","(vide)"),VUE_KPI_FTTH!A1)</f>
        <v>5</v>
      </c>
      <c r="I35" s="69" t="e">
        <f t="shared" ca="1" si="0"/>
        <v>#NAME?</v>
      </c>
    </row>
    <row r="36" spans="1:9" ht="30" customHeight="1" x14ac:dyDescent="0.25">
      <c r="A36" s="111"/>
      <c r="B36" s="5" t="s">
        <v>3</v>
      </c>
      <c r="C36" s="64">
        <f t="shared" ref="C36:H36" si="9">IF(OR(C35="",C35="N/A",C35="NC",C35="ND"),"",C34/C35)</f>
        <v>0.2</v>
      </c>
      <c r="D36" s="64">
        <f t="shared" si="9"/>
        <v>0.2</v>
      </c>
      <c r="E36" s="64" t="str">
        <f t="shared" si="9"/>
        <v/>
      </c>
      <c r="F36" s="64" t="str">
        <f t="shared" si="9"/>
        <v/>
      </c>
      <c r="G36" s="64">
        <f t="shared" si="9"/>
        <v>0.2</v>
      </c>
      <c r="H36" s="64">
        <f t="shared" si="9"/>
        <v>0.2</v>
      </c>
      <c r="I36" s="69" t="e">
        <f t="shared" ca="1" si="0"/>
        <v>#NAME?</v>
      </c>
    </row>
    <row r="37" spans="1:9" ht="30" customHeight="1" x14ac:dyDescent="0.25">
      <c r="A37" s="70" t="s">
        <v>38</v>
      </c>
      <c r="B37" s="8" t="s">
        <v>76</v>
      </c>
      <c r="C37" s="38">
        <f>IFERROR(GETPIVOTDATA("valeur",VUE_KPI_FTTH!$A$7,"codeIndicateur","xx","unite","%","maille","Maille OI","type_valeur","Valeurs Nettes","OC","(vide)"),VUE_KPI_FTTH!A1)</f>
        <v>0.76121499999999997</v>
      </c>
      <c r="D37" s="39">
        <f>IFERROR(GETPIVOTDATA("valeur",VUE_KPI_FTTH!$A$7,"codeIndicateur","xx","unite","%","maille","Maille OI","type_valeur","Valeurs Brutes","OC","(vide)"),VUE_KPI_FTTH!A1)</f>
        <v>0.76121499999999997</v>
      </c>
      <c r="E37" s="38" t="str">
        <f>IFERROR(GETPIVOTDATA("valeur",VUE_KPI_FTTH!$A$7,"codeIndicateur","xx","unite","%","maille","Maille OI (offres commercialisées sur le marché de gros activé)","type_valeur","Valeurs Nettes","OC","(vide)"),VUE_KPI_FTTH!A1)</f>
        <v>N/A</v>
      </c>
      <c r="F37" s="39" t="str">
        <f>IFERROR(GETPIVOTDATA("valeur",VUE_KPI_FTTH!$A$7,"codeIndicateur","xx","unite","%","maille","Maille OI (offres commercialisées sur le marché de gros activé)","type_valeur","Valeurs Brutes","OC","(vide)"),VUE_KPI_FTTH!A1)</f>
        <v>N/A</v>
      </c>
      <c r="G37" s="38">
        <f>IFERROR(GETPIVOTDATA("valeur",VUE_KPI_FTTH!$A$7,"codeIndicateur","xx","unite","%","maille","Maille OI (offres commercialisées sur le marché de détail - Autofourniture)","type_valeur","Valeurs Nettes","OC","(vide)"),VUE_KPI_FTTH!A1)</f>
        <v>0.79391999999999996</v>
      </c>
      <c r="H37" s="39">
        <f>IFERROR(GETPIVOTDATA("valeur",VUE_KPI_FTTH!$A$7,"codeIndicateur","xx","unite","%","maille","Maille OI (offres commercialisées sur le marché de détail - Autofourniture)","type_valeur","Valeurs Brutes","OC","(vide)"),VUE_KPI_FTTH!A1)</f>
        <v>0.79391999999999996</v>
      </c>
      <c r="I37" s="69" t="e">
        <f t="shared" ca="1" si="0"/>
        <v>#NAME?</v>
      </c>
    </row>
    <row r="38" spans="1:9" ht="30" customHeight="1" x14ac:dyDescent="0.25">
      <c r="A38" s="117" t="s">
        <v>39</v>
      </c>
      <c r="B38" s="8" t="s">
        <v>1</v>
      </c>
      <c r="C38" s="60">
        <f>IFERROR(GETPIVOTDATA("valeur",VUE_KPI_FTTH!$A$7,"codeIndicateur","xxxviii","unite","Numérateur","maille","Maille OI","type_valeur","Valeurs Nettes","OC","(vide)"),VUE_KPI_FTTH!A1)</f>
        <v>0</v>
      </c>
      <c r="D38" s="61">
        <f>IFERROR(GETPIVOTDATA("valeur",VUE_KPI_FTTH!$A$7,"codeIndicateur","xxxviii","unite","Numérateur","maille","Maille OI","type_valeur","Valeurs Brutes","OC","(vide)"),VUE_KPI_FTTH!A1)</f>
        <v>0</v>
      </c>
      <c r="E38" s="60" t="str">
        <f>IFERROR(GETPIVOTDATA("valeur",VUE_KPI_FTTH!$A$7,"codeIndicateur","xxxviii","unite","Numérateur","maille","Maille OI (offres commercialisées sur le marché de gros activé)","type_valeur","Valeurs Nettes","OC","(vide)"),VUE_KPI_FTTH!A1)</f>
        <v>N/A</v>
      </c>
      <c r="F38" s="61" t="str">
        <f>IFERROR(GETPIVOTDATA("valeur",VUE_KPI_FTTH!$A$7,"codeIndicateur","xxxviii","unite","Numérateur","maille","Maille OI (offres commercialisées sur le marché de gros activé)","type_valeur","Valeurs Brutes","OC","(vide)"),VUE_KPI_FTTH!A1)</f>
        <v>N/A</v>
      </c>
      <c r="G38" s="60" t="str">
        <f>IFERROR(GETPIVOTDATA("valeur",VUE_KPI_FTTH!$A$7,"codeIndicateur","xxxviii","unite","Numérateur","maille","Maille OI (offres commercialisées sur le marché de détail - Autofourniture)","type_valeur","Valeurs Nettes","OC","(vide)"),VUE_KPI_FTTH!A1)</f>
        <v>N/A</v>
      </c>
      <c r="H38" s="61" t="str">
        <f>IFERROR(GETPIVOTDATA("valeur",VUE_KPI_FTTH!$A$7,"codeIndicateur","xxxviii","unite","Numérateur","maille","Maille OI (offres commercialisées sur le marché de détail - Autofourniture)","type_valeur","Valeurs Brutes","OC","(vide)"),VUE_KPI_FTTH!A1)</f>
        <v>N/A</v>
      </c>
      <c r="I38" s="69" t="e">
        <f t="shared" ca="1" si="0"/>
        <v>#NAME?</v>
      </c>
    </row>
    <row r="39" spans="1:9" ht="30" customHeight="1" x14ac:dyDescent="0.25">
      <c r="A39" s="118"/>
      <c r="B39" s="5" t="s">
        <v>2</v>
      </c>
      <c r="C39" s="62">
        <f>IFERROR(GETPIVOTDATA("valeur",VUE_KPI_FTTH!$A$7,"codeIndicateur","xxxviii","unite","Dénominateur","maille","Maille OI","type_valeur","Valeurs Nettes","OC","(vide)"),VUE_KPI_FTTH!A1)</f>
        <v>1</v>
      </c>
      <c r="D39" s="63">
        <f>IFERROR(GETPIVOTDATA("valeur",VUE_KPI_FTTH!$A$7,"codeIndicateur","xxxviii","unite","Dénominateur","maille","Maille OI","type_valeur","Valeurs Brutes","OC","(vide)"),VUE_KPI_FTTH!A1)</f>
        <v>1</v>
      </c>
      <c r="E39" s="62" t="str">
        <f>IFERROR(GETPIVOTDATA("valeur",VUE_KPI_FTTH!$A$7,"codeIndicateur","xxxviii","unite","Dénominateur","maille","Maille OI (offres commercialisées sur le marché de gros activé)","type_valeur","Valeurs Nettes","OC","(vide)"),VUE_KPI_FTTH!A1)</f>
        <v>N/A</v>
      </c>
      <c r="F39" s="63" t="str">
        <f>IFERROR(GETPIVOTDATA("valeur",VUE_KPI_FTTH!$A$7,"codeIndicateur","xxxviii","unite","Dénominateur","maille","Maille OI (offres commercialisées sur le marché de gros activé)","type_valeur","Valeurs Brutes","OC","(vide)"),VUE_KPI_FTTH!A1)</f>
        <v>N/A</v>
      </c>
      <c r="G39" s="62" t="str">
        <f>IFERROR(GETPIVOTDATA("valeur",VUE_KPI_FTTH!$A$7,"codeIndicateur","xxxviii","unite","Dénominateur","maille","Maille OI (offres commercialisées sur le marché de détail - Autofourniture)","type_valeur","Valeurs Nettes","OC","(vide)"),VUE_KPI_FTTH!A1)</f>
        <v>N/A</v>
      </c>
      <c r="H39" s="63" t="str">
        <f>IFERROR(GETPIVOTDATA("valeur",VUE_KPI_FTTH!$A$7,"codeIndicateur","xxxviii","unite","Dénominateur","maille","Maille OI (offres commercialisées sur le marché de détail - Autofourniture)","type_valeur","Valeurs Brutes","OC","(vide)"),VUE_KPI_FTTH!A1)</f>
        <v>N/A</v>
      </c>
      <c r="I39" s="69" t="e">
        <f t="shared" ca="1" si="0"/>
        <v>#NAME?</v>
      </c>
    </row>
    <row r="40" spans="1:9" ht="30" customHeight="1" x14ac:dyDescent="0.25">
      <c r="A40" s="111"/>
      <c r="B40" s="5" t="s">
        <v>3</v>
      </c>
      <c r="C40" s="64">
        <f t="shared" ref="C40:H40" si="10">IF(OR(C39="",C39="N/A",C39="NC",C39="ND"),"",C38/C39)</f>
        <v>0</v>
      </c>
      <c r="D40" s="64">
        <f t="shared" si="10"/>
        <v>0</v>
      </c>
      <c r="E40" s="64" t="str">
        <f t="shared" si="10"/>
        <v/>
      </c>
      <c r="F40" s="64" t="str">
        <f t="shared" si="10"/>
        <v/>
      </c>
      <c r="G40" s="64" t="str">
        <f t="shared" si="10"/>
        <v/>
      </c>
      <c r="H40" s="64" t="str">
        <f t="shared" si="10"/>
        <v/>
      </c>
      <c r="I40" s="6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workbookViewId="0">
      <selection activeCell="D17" sqref="D1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1" x14ac:dyDescent="0.25">
      <c r="A1" s="78" t="s">
        <v>99</v>
      </c>
    </row>
    <row r="2" spans="1:11" x14ac:dyDescent="0.25">
      <c r="A2" s="78">
        <v>0</v>
      </c>
    </row>
    <row r="3" spans="1:11" x14ac:dyDescent="0.25">
      <c r="A3" s="79"/>
    </row>
    <row r="5" spans="1:11" x14ac:dyDescent="0.25">
      <c r="A5" s="81" t="s">
        <v>100</v>
      </c>
      <c r="B5" t="s">
        <v>101</v>
      </c>
    </row>
    <row r="7" spans="1:11" x14ac:dyDescent="0.25">
      <c r="A7" s="81" t="s">
        <v>102</v>
      </c>
      <c r="D7" s="81" t="s">
        <v>103</v>
      </c>
      <c r="E7" s="81" t="s">
        <v>104</v>
      </c>
      <c r="F7" s="81" t="s">
        <v>105</v>
      </c>
    </row>
    <row r="8" spans="1:11" x14ac:dyDescent="0.25">
      <c r="D8" t="s">
        <v>106</v>
      </c>
      <c r="I8" t="s">
        <v>107</v>
      </c>
      <c r="J8" t="s">
        <v>131</v>
      </c>
    </row>
    <row r="9" spans="1:11" x14ac:dyDescent="0.25">
      <c r="D9" t="s">
        <v>0</v>
      </c>
      <c r="F9" t="s">
        <v>69</v>
      </c>
      <c r="G9" t="s">
        <v>70</v>
      </c>
      <c r="I9" t="s">
        <v>0</v>
      </c>
      <c r="J9" t="s">
        <v>0</v>
      </c>
    </row>
    <row r="10" spans="1:11" x14ac:dyDescent="0.25">
      <c r="A10" s="81" t="s">
        <v>108</v>
      </c>
      <c r="B10" s="81" t="s">
        <v>109</v>
      </c>
      <c r="C10" s="81" t="s">
        <v>110</v>
      </c>
      <c r="D10" t="s">
        <v>111</v>
      </c>
      <c r="E10" t="s">
        <v>152</v>
      </c>
      <c r="F10" t="s">
        <v>152</v>
      </c>
      <c r="G10" t="s">
        <v>111</v>
      </c>
      <c r="H10" t="s">
        <v>152</v>
      </c>
      <c r="I10" t="s">
        <v>152</v>
      </c>
      <c r="J10" t="s">
        <v>111</v>
      </c>
      <c r="K10" t="s">
        <v>152</v>
      </c>
    </row>
    <row r="11" spans="1:11" x14ac:dyDescent="0.25">
      <c r="A11" t="s">
        <v>135</v>
      </c>
      <c r="B11" t="s">
        <v>136</v>
      </c>
      <c r="C11" t="s">
        <v>72</v>
      </c>
      <c r="D11" s="80">
        <v>8.82</v>
      </c>
      <c r="E11" s="80">
        <v>8.82</v>
      </c>
      <c r="F11" s="80" t="e">
        <v>#DIV/0!</v>
      </c>
      <c r="G11" s="80">
        <v>8.82</v>
      </c>
      <c r="H11" s="80">
        <v>8.82</v>
      </c>
      <c r="I11" s="80" t="e">
        <v>#DIV/0!</v>
      </c>
      <c r="J11" s="80" t="e">
        <v>#DIV/0!</v>
      </c>
      <c r="K11" s="80" t="e">
        <v>#DIV/0!</v>
      </c>
    </row>
    <row r="12" spans="1:11" x14ac:dyDescent="0.25">
      <c r="A12" t="s">
        <v>143</v>
      </c>
      <c r="B12" t="s">
        <v>144</v>
      </c>
      <c r="C12" t="s">
        <v>2</v>
      </c>
      <c r="D12" s="80">
        <v>4</v>
      </c>
      <c r="E12" s="80">
        <v>4</v>
      </c>
      <c r="F12" s="80" t="e">
        <v>#DIV/0!</v>
      </c>
      <c r="G12" s="80">
        <v>4</v>
      </c>
      <c r="H12" s="80">
        <v>4</v>
      </c>
      <c r="I12" s="80" t="e">
        <v>#DIV/0!</v>
      </c>
      <c r="J12" s="80" t="e">
        <v>#DIV/0!</v>
      </c>
      <c r="K12" s="80" t="e">
        <v>#DIV/0!</v>
      </c>
    </row>
    <row r="13" spans="1:11" x14ac:dyDescent="0.25">
      <c r="C13" t="s">
        <v>1</v>
      </c>
      <c r="D13" s="80">
        <v>0</v>
      </c>
      <c r="E13" s="80">
        <v>0</v>
      </c>
      <c r="F13" s="80" t="e">
        <v>#DIV/0!</v>
      </c>
      <c r="G13" s="80">
        <v>0</v>
      </c>
      <c r="H13" s="80">
        <v>0</v>
      </c>
      <c r="I13" s="80" t="e">
        <v>#DIV/0!</v>
      </c>
      <c r="J13" s="80" t="e">
        <v>#DIV/0!</v>
      </c>
      <c r="K13" s="80" t="e">
        <v>#DIV/0!</v>
      </c>
    </row>
    <row r="14" spans="1:11" x14ac:dyDescent="0.25">
      <c r="A14" t="s">
        <v>145</v>
      </c>
      <c r="B14" t="s">
        <v>146</v>
      </c>
      <c r="C14" t="s">
        <v>2</v>
      </c>
      <c r="D14" s="80">
        <v>7</v>
      </c>
      <c r="E14" s="80">
        <v>7</v>
      </c>
      <c r="F14" s="80" t="e">
        <v>#DIV/0!</v>
      </c>
      <c r="G14" s="80">
        <v>7</v>
      </c>
      <c r="H14" s="80">
        <v>7</v>
      </c>
      <c r="I14" s="80" t="e">
        <v>#DIV/0!</v>
      </c>
      <c r="J14" s="80" t="e">
        <v>#DIV/0!</v>
      </c>
      <c r="K14" s="80" t="e">
        <v>#DIV/0!</v>
      </c>
    </row>
    <row r="15" spans="1:11" x14ac:dyDescent="0.25">
      <c r="C15" t="s">
        <v>1</v>
      </c>
      <c r="D15" s="80">
        <v>0</v>
      </c>
      <c r="E15" s="80">
        <v>0</v>
      </c>
      <c r="F15" s="80" t="e">
        <v>#DIV/0!</v>
      </c>
      <c r="G15" s="80">
        <v>0</v>
      </c>
      <c r="H15" s="80">
        <v>0</v>
      </c>
      <c r="I15" s="80" t="e">
        <v>#DIV/0!</v>
      </c>
      <c r="J15" s="80" t="e">
        <v>#DIV/0!</v>
      </c>
      <c r="K15" s="80" t="e">
        <v>#DIV/0!</v>
      </c>
    </row>
    <row r="16" spans="1:11" x14ac:dyDescent="0.25">
      <c r="A16" t="s">
        <v>112</v>
      </c>
      <c r="B16" t="s">
        <v>113</v>
      </c>
      <c r="C16" t="s">
        <v>2</v>
      </c>
      <c r="D16" s="80">
        <v>752</v>
      </c>
      <c r="E16" s="80">
        <v>752</v>
      </c>
      <c r="F16" s="80" t="e">
        <v>#DIV/0!</v>
      </c>
      <c r="G16" s="80">
        <v>723</v>
      </c>
      <c r="H16" s="80">
        <v>723</v>
      </c>
      <c r="I16" s="80" t="e">
        <v>#DIV/0!</v>
      </c>
      <c r="J16" s="80" t="e">
        <v>#DIV/0!</v>
      </c>
      <c r="K16" s="80" t="e">
        <v>#DIV/0!</v>
      </c>
    </row>
    <row r="17" spans="1:11" x14ac:dyDescent="0.25">
      <c r="C17" t="s">
        <v>1</v>
      </c>
      <c r="D17" s="80">
        <v>1</v>
      </c>
      <c r="E17" s="80">
        <v>1</v>
      </c>
      <c r="F17" s="80" t="e">
        <v>#DIV/0!</v>
      </c>
      <c r="G17" s="80">
        <v>1</v>
      </c>
      <c r="H17" s="80">
        <v>1</v>
      </c>
      <c r="I17" s="80" t="e">
        <v>#DIV/0!</v>
      </c>
      <c r="J17" s="80" t="e">
        <v>#DIV/0!</v>
      </c>
      <c r="K17" s="80" t="e">
        <v>#DIV/0!</v>
      </c>
    </row>
    <row r="18" spans="1:11" x14ac:dyDescent="0.25">
      <c r="A18" t="s">
        <v>147</v>
      </c>
      <c r="B18" t="s">
        <v>148</v>
      </c>
      <c r="C18" t="s">
        <v>2</v>
      </c>
      <c r="D18" s="80">
        <v>9841</v>
      </c>
      <c r="E18" s="80">
        <v>9841</v>
      </c>
      <c r="F18" s="80" t="e">
        <v>#DIV/0!</v>
      </c>
      <c r="G18" s="80">
        <v>9698</v>
      </c>
      <c r="H18" s="80">
        <v>9698</v>
      </c>
      <c r="I18" s="80" t="e">
        <v>#DIV/0!</v>
      </c>
      <c r="J18" s="80" t="e">
        <v>#DIV/0!</v>
      </c>
      <c r="K18" s="80" t="e">
        <v>#DIV/0!</v>
      </c>
    </row>
    <row r="19" spans="1:11" x14ac:dyDescent="0.25">
      <c r="C19" t="s">
        <v>1</v>
      </c>
      <c r="D19" s="80">
        <v>5</v>
      </c>
      <c r="E19" s="80">
        <v>5</v>
      </c>
      <c r="F19" s="80" t="e">
        <v>#DIV/0!</v>
      </c>
      <c r="G19" s="80">
        <v>5</v>
      </c>
      <c r="H19" s="80">
        <v>5</v>
      </c>
      <c r="I19" s="80" t="e">
        <v>#DIV/0!</v>
      </c>
      <c r="J19" s="80" t="e">
        <v>#DIV/0!</v>
      </c>
      <c r="K19" s="80" t="e">
        <v>#DIV/0!</v>
      </c>
    </row>
    <row r="20" spans="1:11" x14ac:dyDescent="0.25">
      <c r="A20" t="s">
        <v>114</v>
      </c>
      <c r="B20" t="s">
        <v>115</v>
      </c>
      <c r="C20" t="s">
        <v>72</v>
      </c>
      <c r="D20" s="80" t="e">
        <v>#DIV/0!</v>
      </c>
      <c r="E20" s="80">
        <v>30.5</v>
      </c>
      <c r="F20" s="80" t="e">
        <v>#DIV/0!</v>
      </c>
      <c r="G20" s="80" t="e">
        <v>#DIV/0!</v>
      </c>
      <c r="H20" s="80">
        <v>30.5</v>
      </c>
      <c r="I20" s="80">
        <v>31.6</v>
      </c>
      <c r="J20" s="80" t="e">
        <v>#DIV/0!</v>
      </c>
      <c r="K20" s="80">
        <v>30.5</v>
      </c>
    </row>
    <row r="21" spans="1:11" x14ac:dyDescent="0.25">
      <c r="C21" t="s">
        <v>75</v>
      </c>
      <c r="D21" s="80" t="e">
        <v>#DIV/0!</v>
      </c>
      <c r="E21" s="80">
        <v>11.1</v>
      </c>
      <c r="F21" s="80" t="e">
        <v>#DIV/0!</v>
      </c>
      <c r="G21" s="80" t="e">
        <v>#DIV/0!</v>
      </c>
      <c r="H21" s="80">
        <v>11.2</v>
      </c>
      <c r="I21" s="80">
        <v>3.6</v>
      </c>
      <c r="J21" s="80" t="e">
        <v>#DIV/0!</v>
      </c>
      <c r="K21" s="80">
        <v>11.2</v>
      </c>
    </row>
    <row r="22" spans="1:11" x14ac:dyDescent="0.25">
      <c r="A22" t="s">
        <v>137</v>
      </c>
      <c r="B22" t="s">
        <v>138</v>
      </c>
      <c r="C22" t="s">
        <v>72</v>
      </c>
      <c r="D22" s="80" t="e">
        <v>#DIV/0!</v>
      </c>
      <c r="E22" s="80" t="e">
        <v>#DIV/0!</v>
      </c>
      <c r="F22" s="80" t="e">
        <v>#DIV/0!</v>
      </c>
      <c r="G22" s="80" t="e">
        <v>#DIV/0!</v>
      </c>
      <c r="H22" s="80" t="e">
        <v>#DIV/0!</v>
      </c>
      <c r="I22" s="80" t="e">
        <v>#DIV/0!</v>
      </c>
      <c r="J22" s="80" t="e">
        <v>#DIV/0!</v>
      </c>
      <c r="K22" s="80" t="e">
        <v>#DIV/0!</v>
      </c>
    </row>
    <row r="23" spans="1:11" x14ac:dyDescent="0.25">
      <c r="A23" t="s">
        <v>116</v>
      </c>
      <c r="B23" t="s">
        <v>117</v>
      </c>
      <c r="C23" t="s">
        <v>72</v>
      </c>
      <c r="D23" s="80" t="e">
        <v>#DIV/0!</v>
      </c>
      <c r="E23" s="80">
        <v>0.2</v>
      </c>
      <c r="F23" s="80" t="e">
        <v>#DIV/0!</v>
      </c>
      <c r="G23" s="80" t="e">
        <v>#DIV/0!</v>
      </c>
      <c r="H23" s="80">
        <v>0.1</v>
      </c>
      <c r="I23" s="80">
        <v>0.5</v>
      </c>
      <c r="J23" s="80" t="e">
        <v>#DIV/0!</v>
      </c>
      <c r="K23" s="80">
        <v>0.1</v>
      </c>
    </row>
    <row r="24" spans="1:11" x14ac:dyDescent="0.25">
      <c r="C24" t="s">
        <v>75</v>
      </c>
      <c r="D24" s="80" t="e">
        <v>#DIV/0!</v>
      </c>
      <c r="E24" s="80">
        <v>0</v>
      </c>
      <c r="F24" s="80" t="e">
        <v>#DIV/0!</v>
      </c>
      <c r="G24" s="80" t="e">
        <v>#DIV/0!</v>
      </c>
      <c r="H24" s="80">
        <v>0</v>
      </c>
      <c r="I24" s="80">
        <v>0.2</v>
      </c>
      <c r="J24" s="80" t="e">
        <v>#DIV/0!</v>
      </c>
      <c r="K24" s="80">
        <v>0</v>
      </c>
    </row>
    <row r="25" spans="1:11" x14ac:dyDescent="0.25">
      <c r="A25" t="s">
        <v>118</v>
      </c>
      <c r="B25" t="s">
        <v>119</v>
      </c>
      <c r="C25" t="s">
        <v>2</v>
      </c>
      <c r="D25" s="80" t="e">
        <v>#DIV/0!</v>
      </c>
      <c r="E25" s="80">
        <v>736</v>
      </c>
      <c r="F25" s="80" t="e">
        <v>#DIV/0!</v>
      </c>
      <c r="G25" s="80" t="e">
        <v>#DIV/0!</v>
      </c>
      <c r="H25" s="80">
        <v>719</v>
      </c>
      <c r="I25" s="80" t="e">
        <v>#DIV/0!</v>
      </c>
      <c r="J25" s="80" t="e">
        <v>#DIV/0!</v>
      </c>
      <c r="K25" s="80" t="e">
        <v>#DIV/0!</v>
      </c>
    </row>
    <row r="26" spans="1:11" x14ac:dyDescent="0.25">
      <c r="C26" t="s">
        <v>1</v>
      </c>
      <c r="D26" s="80" t="e">
        <v>#DIV/0!</v>
      </c>
      <c r="E26" s="80">
        <v>173</v>
      </c>
      <c r="F26" s="80" t="e">
        <v>#DIV/0!</v>
      </c>
      <c r="G26" s="80" t="e">
        <v>#DIV/0!</v>
      </c>
      <c r="H26" s="80">
        <v>172</v>
      </c>
      <c r="I26" s="80" t="e">
        <v>#DIV/0!</v>
      </c>
      <c r="J26" s="80" t="e">
        <v>#DIV/0!</v>
      </c>
      <c r="K26" s="80" t="e">
        <v>#DIV/0!</v>
      </c>
    </row>
    <row r="27" spans="1:11" x14ac:dyDescent="0.25">
      <c r="A27" t="s">
        <v>139</v>
      </c>
      <c r="B27" t="s">
        <v>140</v>
      </c>
      <c r="C27" t="s">
        <v>2</v>
      </c>
      <c r="D27" s="80" t="e">
        <v>#DIV/0!</v>
      </c>
      <c r="E27" s="80" t="e">
        <v>#DIV/0!</v>
      </c>
      <c r="F27" s="80" t="e">
        <v>#DIV/0!</v>
      </c>
      <c r="G27" s="80">
        <v>3</v>
      </c>
      <c r="H27" s="80">
        <v>4</v>
      </c>
      <c r="I27" s="80" t="e">
        <v>#DIV/0!</v>
      </c>
      <c r="J27" s="80" t="e">
        <v>#DIV/0!</v>
      </c>
      <c r="K27" s="80" t="e">
        <v>#DIV/0!</v>
      </c>
    </row>
    <row r="28" spans="1:11" x14ac:dyDescent="0.25">
      <c r="C28" t="s">
        <v>1</v>
      </c>
      <c r="D28" s="80" t="e">
        <v>#DIV/0!</v>
      </c>
      <c r="E28" s="80" t="e">
        <v>#DIV/0!</v>
      </c>
      <c r="F28" s="80" t="e">
        <v>#DIV/0!</v>
      </c>
      <c r="G28" s="80">
        <v>0</v>
      </c>
      <c r="H28" s="80">
        <v>0</v>
      </c>
      <c r="I28" s="80" t="e">
        <v>#DIV/0!</v>
      </c>
      <c r="J28" s="80" t="e">
        <v>#DIV/0!</v>
      </c>
      <c r="K28" s="80" t="e">
        <v>#DIV/0!</v>
      </c>
    </row>
    <row r="29" spans="1:11" x14ac:dyDescent="0.25">
      <c r="A29" t="s">
        <v>141</v>
      </c>
      <c r="B29" t="s">
        <v>142</v>
      </c>
      <c r="C29" t="s">
        <v>72</v>
      </c>
      <c r="D29" s="80" t="e">
        <v>#DIV/0!</v>
      </c>
      <c r="E29" s="80" t="e">
        <v>#DIV/0!</v>
      </c>
      <c r="F29" s="80" t="e">
        <v>#DIV/0!</v>
      </c>
      <c r="G29" s="80">
        <v>19</v>
      </c>
      <c r="H29" s="80">
        <v>19</v>
      </c>
      <c r="I29" s="80" t="e">
        <v>#DIV/0!</v>
      </c>
      <c r="J29" s="80" t="e">
        <v>#DIV/0!</v>
      </c>
      <c r="K29" s="80" t="e">
        <v>#DIV/0!</v>
      </c>
    </row>
    <row r="30" spans="1:11" x14ac:dyDescent="0.25">
      <c r="A30" t="s">
        <v>120</v>
      </c>
      <c r="B30" t="s">
        <v>121</v>
      </c>
      <c r="C30" t="s">
        <v>2</v>
      </c>
      <c r="D30" s="80" t="e">
        <v>#DIV/0!</v>
      </c>
      <c r="E30" s="80">
        <v>687</v>
      </c>
      <c r="F30" s="80" t="e">
        <v>#DIV/0!</v>
      </c>
      <c r="G30" s="80" t="e">
        <v>#DIV/0!</v>
      </c>
      <c r="H30" s="80">
        <v>662</v>
      </c>
      <c r="I30" s="80">
        <v>25</v>
      </c>
      <c r="J30" s="80" t="e">
        <v>#DIV/0!</v>
      </c>
      <c r="K30" s="80">
        <v>662</v>
      </c>
    </row>
    <row r="31" spans="1:11" x14ac:dyDescent="0.25">
      <c r="A31" t="s">
        <v>122</v>
      </c>
      <c r="B31" t="s">
        <v>123</v>
      </c>
      <c r="C31" t="s">
        <v>2</v>
      </c>
      <c r="D31" s="80" t="e">
        <v>#DIV/0!</v>
      </c>
      <c r="E31" s="80">
        <v>736</v>
      </c>
      <c r="F31" s="80" t="e">
        <v>#DIV/0!</v>
      </c>
      <c r="G31" s="80" t="e">
        <v>#DIV/0!</v>
      </c>
      <c r="H31" s="80">
        <v>719</v>
      </c>
      <c r="I31" s="80" t="e">
        <v>#DIV/0!</v>
      </c>
      <c r="J31" s="80" t="e">
        <v>#DIV/0!</v>
      </c>
      <c r="K31" s="80" t="e">
        <v>#DIV/0!</v>
      </c>
    </row>
    <row r="32" spans="1:11" x14ac:dyDescent="0.25">
      <c r="C32" t="s">
        <v>1</v>
      </c>
      <c r="D32" s="80" t="e">
        <v>#DIV/0!</v>
      </c>
      <c r="E32" s="80">
        <v>21</v>
      </c>
      <c r="F32" s="80" t="e">
        <v>#DIV/0!</v>
      </c>
      <c r="G32" s="80" t="e">
        <v>#DIV/0!</v>
      </c>
      <c r="H32" s="80">
        <v>21</v>
      </c>
      <c r="I32" s="80" t="e">
        <v>#DIV/0!</v>
      </c>
      <c r="J32" s="80" t="e">
        <v>#DIV/0!</v>
      </c>
      <c r="K32" s="80" t="e">
        <v>#DIV/0!</v>
      </c>
    </row>
    <row r="33" spans="1:11" x14ac:dyDescent="0.25">
      <c r="A33" t="s">
        <v>124</v>
      </c>
      <c r="B33" t="s">
        <v>125</v>
      </c>
      <c r="C33" t="s">
        <v>71</v>
      </c>
      <c r="D33" s="80" t="e">
        <v>#DIV/0!</v>
      </c>
      <c r="E33" s="80">
        <v>64.8</v>
      </c>
      <c r="F33" s="80" t="e">
        <v>#DIV/0!</v>
      </c>
      <c r="G33" s="80" t="e">
        <v>#DIV/0!</v>
      </c>
      <c r="H33" s="80">
        <v>64.8</v>
      </c>
      <c r="I33" s="80" t="e">
        <v>#DIV/0!</v>
      </c>
      <c r="J33" s="80" t="e">
        <v>#DIV/0!</v>
      </c>
      <c r="K33" s="80" t="e">
        <v>#DIV/0!</v>
      </c>
    </row>
    <row r="34" spans="1:11" x14ac:dyDescent="0.25">
      <c r="A34" t="s">
        <v>126</v>
      </c>
      <c r="B34" t="s">
        <v>127</v>
      </c>
      <c r="C34" t="s">
        <v>71</v>
      </c>
      <c r="D34" s="80" t="e">
        <v>#DIV/0!</v>
      </c>
      <c r="E34" s="80">
        <v>51</v>
      </c>
      <c r="F34" s="80" t="e">
        <v>#DIV/0!</v>
      </c>
      <c r="G34" s="80" t="e">
        <v>#DIV/0!</v>
      </c>
      <c r="H34" s="80">
        <v>51</v>
      </c>
      <c r="I34" s="80" t="e">
        <v>#DIV/0!</v>
      </c>
      <c r="J34" s="80" t="e">
        <v>#DIV/0!</v>
      </c>
      <c r="K34" s="80" t="e">
        <v>#DIV/0!</v>
      </c>
    </row>
    <row r="35" spans="1:11" x14ac:dyDescent="0.25">
      <c r="A35" t="s">
        <v>128</v>
      </c>
      <c r="B35" t="s">
        <v>129</v>
      </c>
      <c r="C35" t="s">
        <v>2</v>
      </c>
      <c r="D35" s="80" t="e">
        <v>#DIV/0!</v>
      </c>
      <c r="E35" s="80">
        <v>664</v>
      </c>
      <c r="F35" s="80" t="e">
        <v>#DIV/0!</v>
      </c>
      <c r="G35" s="80" t="e">
        <v>#DIV/0!</v>
      </c>
      <c r="H35" s="80">
        <v>639</v>
      </c>
      <c r="I35" s="80">
        <v>25</v>
      </c>
      <c r="J35" s="80" t="e">
        <v>#DIV/0!</v>
      </c>
      <c r="K35" s="80">
        <v>639</v>
      </c>
    </row>
    <row r="36" spans="1:11" x14ac:dyDescent="0.25">
      <c r="C36" t="s">
        <v>1</v>
      </c>
      <c r="D36" s="80" t="e">
        <v>#DIV/0!</v>
      </c>
      <c r="E36" s="80">
        <v>1</v>
      </c>
      <c r="F36" s="80" t="e">
        <v>#DIV/0!</v>
      </c>
      <c r="G36" s="80" t="e">
        <v>#DIV/0!</v>
      </c>
      <c r="H36" s="80">
        <v>1</v>
      </c>
      <c r="I36" s="80" t="e">
        <v>#DIV/0!</v>
      </c>
      <c r="J36" s="80" t="e">
        <v>#DIV/0!</v>
      </c>
      <c r="K36" s="80">
        <v>1</v>
      </c>
    </row>
    <row r="37" spans="1:11" x14ac:dyDescent="0.25">
      <c r="A37" t="s">
        <v>39</v>
      </c>
      <c r="B37" t="s">
        <v>153</v>
      </c>
      <c r="C37" t="s">
        <v>2</v>
      </c>
      <c r="D37" s="80">
        <v>1</v>
      </c>
      <c r="E37" s="80">
        <v>1</v>
      </c>
      <c r="F37" s="80" t="e">
        <v>#DIV/0!</v>
      </c>
      <c r="G37" s="80" t="e">
        <v>#DIV/0!</v>
      </c>
      <c r="H37" s="80" t="e">
        <v>#DIV/0!</v>
      </c>
      <c r="I37" s="80" t="e">
        <v>#DIV/0!</v>
      </c>
      <c r="J37" s="80" t="e">
        <v>#DIV/0!</v>
      </c>
      <c r="K37" s="80" t="e">
        <v>#DIV/0!</v>
      </c>
    </row>
    <row r="38" spans="1:11" x14ac:dyDescent="0.25">
      <c r="C38" t="s">
        <v>1</v>
      </c>
      <c r="D38" s="80">
        <v>0</v>
      </c>
      <c r="E38" s="80">
        <v>0</v>
      </c>
      <c r="F38" s="80" t="e">
        <v>#DIV/0!</v>
      </c>
      <c r="G38" s="80" t="e">
        <v>#DIV/0!</v>
      </c>
      <c r="H38" s="80" t="e">
        <v>#DIV/0!</v>
      </c>
      <c r="I38" s="80" t="e">
        <v>#DIV/0!</v>
      </c>
      <c r="J38" s="80" t="e">
        <v>#DIV/0!</v>
      </c>
      <c r="K38" s="80" t="e">
        <v>#DIV/0!</v>
      </c>
    </row>
    <row r="39" spans="1:11" x14ac:dyDescent="0.25">
      <c r="A39" t="s">
        <v>30</v>
      </c>
      <c r="B39" t="s">
        <v>150</v>
      </c>
      <c r="C39" t="s">
        <v>2</v>
      </c>
      <c r="D39" s="80">
        <v>2</v>
      </c>
      <c r="E39" s="80">
        <v>2</v>
      </c>
      <c r="F39" s="80" t="e">
        <v>#DIV/0!</v>
      </c>
      <c r="G39" s="80">
        <v>2</v>
      </c>
      <c r="H39" s="80">
        <v>2</v>
      </c>
      <c r="I39" s="80" t="e">
        <v>#DIV/0!</v>
      </c>
      <c r="J39" s="80" t="e">
        <v>#DIV/0!</v>
      </c>
      <c r="K39" s="80" t="e">
        <v>#DIV/0!</v>
      </c>
    </row>
    <row r="40" spans="1:11" x14ac:dyDescent="0.25">
      <c r="C40" t="s">
        <v>1</v>
      </c>
      <c r="D40" s="80">
        <v>2</v>
      </c>
      <c r="E40" s="80">
        <v>2</v>
      </c>
      <c r="F40" s="80" t="e">
        <v>#DIV/0!</v>
      </c>
      <c r="G40" s="80">
        <v>2</v>
      </c>
      <c r="H40" s="80">
        <v>2</v>
      </c>
      <c r="I40" s="80" t="e">
        <v>#DIV/0!</v>
      </c>
      <c r="J40" s="80" t="e">
        <v>#DIV/0!</v>
      </c>
      <c r="K40" s="80" t="e">
        <v>#DIV/0!</v>
      </c>
    </row>
    <row r="41" spans="1:11" x14ac:dyDescent="0.25">
      <c r="A41" t="s">
        <v>46</v>
      </c>
      <c r="B41" t="s">
        <v>149</v>
      </c>
      <c r="C41" t="s">
        <v>2</v>
      </c>
      <c r="D41" s="80">
        <v>5</v>
      </c>
      <c r="E41" s="80">
        <v>5</v>
      </c>
      <c r="F41" s="80" t="e">
        <v>#DIV/0!</v>
      </c>
      <c r="G41" s="80">
        <v>5</v>
      </c>
      <c r="H41" s="80">
        <v>5</v>
      </c>
      <c r="I41" s="80" t="e">
        <v>#DIV/0!</v>
      </c>
      <c r="J41" s="80">
        <v>5</v>
      </c>
      <c r="K41" s="80">
        <v>5</v>
      </c>
    </row>
    <row r="42" spans="1:11" x14ac:dyDescent="0.25">
      <c r="C42" t="s">
        <v>1</v>
      </c>
      <c r="D42" s="80">
        <v>1</v>
      </c>
      <c r="E42" s="80">
        <v>1</v>
      </c>
      <c r="F42" s="80" t="e">
        <v>#DIV/0!</v>
      </c>
      <c r="G42" s="80">
        <v>1</v>
      </c>
      <c r="H42" s="80">
        <v>1</v>
      </c>
      <c r="I42" s="80" t="e">
        <v>#DIV/0!</v>
      </c>
      <c r="J42" s="80">
        <v>1</v>
      </c>
      <c r="K42" s="80">
        <v>1</v>
      </c>
    </row>
    <row r="43" spans="1:11" x14ac:dyDescent="0.25">
      <c r="A43" t="s">
        <v>32</v>
      </c>
      <c r="B43" t="s">
        <v>151</v>
      </c>
      <c r="C43" t="s">
        <v>2</v>
      </c>
      <c r="D43" s="80">
        <v>8760</v>
      </c>
      <c r="E43" s="80">
        <v>8760</v>
      </c>
      <c r="F43" s="80" t="e">
        <v>#DIV/0!</v>
      </c>
      <c r="G43" s="80">
        <v>8760</v>
      </c>
      <c r="H43" s="80">
        <v>8760</v>
      </c>
      <c r="I43" s="80" t="e">
        <v>#DIV/0!</v>
      </c>
      <c r="J43" s="80" t="e">
        <v>#DIV/0!</v>
      </c>
      <c r="K43" s="80" t="e">
        <v>#DIV/0!</v>
      </c>
    </row>
    <row r="44" spans="1:11" x14ac:dyDescent="0.25">
      <c r="C44" t="s">
        <v>1</v>
      </c>
      <c r="D44" s="80">
        <v>0</v>
      </c>
      <c r="E44" s="80">
        <v>0</v>
      </c>
      <c r="F44" s="80" t="e">
        <v>#DIV/0!</v>
      </c>
      <c r="G44" s="80" t="e">
        <v>#DIV/0!</v>
      </c>
      <c r="H44" s="80" t="e">
        <v>#DIV/0!</v>
      </c>
      <c r="I44" s="80" t="e">
        <v>#DIV/0!</v>
      </c>
      <c r="J44" s="80" t="e">
        <v>#DIV/0!</v>
      </c>
      <c r="K44" s="80" t="e">
        <v>#DIV/0!</v>
      </c>
    </row>
    <row r="45" spans="1:11" x14ac:dyDescent="0.25">
      <c r="A45" t="s">
        <v>38</v>
      </c>
      <c r="B45" t="s">
        <v>130</v>
      </c>
      <c r="C45" t="s">
        <v>76</v>
      </c>
      <c r="D45" s="80">
        <v>0.76121499999999997</v>
      </c>
      <c r="E45" s="80">
        <v>0.76121499999999997</v>
      </c>
      <c r="F45" s="80" t="e">
        <v>#DIV/0!</v>
      </c>
      <c r="G45" s="80">
        <v>0.79391999999999996</v>
      </c>
      <c r="H45" s="80">
        <v>0.79391999999999996</v>
      </c>
      <c r="I45" s="80" t="e">
        <v>#DIV/0!</v>
      </c>
      <c r="J45" s="80" t="e">
        <v>#DIV/0!</v>
      </c>
      <c r="K45" s="80" t="e">
        <v>#DIV/0!</v>
      </c>
    </row>
    <row r="46" spans="1:11" x14ac:dyDescent="0.25">
      <c r="A46" t="s">
        <v>132</v>
      </c>
      <c r="B46" t="s">
        <v>133</v>
      </c>
      <c r="C46" t="s">
        <v>2</v>
      </c>
      <c r="D46" s="80" t="e">
        <v>#DIV/0!</v>
      </c>
      <c r="E46" s="80">
        <v>121685</v>
      </c>
      <c r="F46" s="80">
        <v>121685</v>
      </c>
      <c r="G46" s="80" t="e">
        <v>#DIV/0!</v>
      </c>
      <c r="H46" s="80">
        <v>121685</v>
      </c>
      <c r="I46" s="80" t="e">
        <v>#DIV/0!</v>
      </c>
      <c r="J46" s="80" t="e">
        <v>#DIV/0!</v>
      </c>
      <c r="K46" s="80" t="e">
        <v>#DIV/0!</v>
      </c>
    </row>
    <row r="47" spans="1:11" x14ac:dyDescent="0.25">
      <c r="C47" t="s">
        <v>1</v>
      </c>
      <c r="D47" s="80" t="e">
        <v>#DIV/0!</v>
      </c>
      <c r="E47" s="80">
        <v>15322</v>
      </c>
      <c r="F47" s="80">
        <v>15322</v>
      </c>
      <c r="G47" s="80" t="e">
        <v>#DIV/0!</v>
      </c>
      <c r="H47" s="80">
        <v>15322</v>
      </c>
      <c r="I47" s="80" t="e">
        <v>#DIV/0!</v>
      </c>
      <c r="J47" s="80" t="e">
        <v>#DIV/0!</v>
      </c>
      <c r="K47" s="80" t="e">
        <v>#DIV/0!</v>
      </c>
    </row>
    <row r="48" spans="1:11" x14ac:dyDescent="0.25">
      <c r="A48" t="s">
        <v>24</v>
      </c>
      <c r="B48" t="s">
        <v>154</v>
      </c>
      <c r="C48" t="s">
        <v>2</v>
      </c>
      <c r="D48" s="80">
        <v>1</v>
      </c>
      <c r="E48" s="80" t="e">
        <v>#DIV/0!</v>
      </c>
      <c r="F48" s="80" t="e">
        <v>#DIV/0!</v>
      </c>
      <c r="G48" s="80" t="e">
        <v>#DIV/0!</v>
      </c>
      <c r="H48" s="80" t="e">
        <v>#DIV/0!</v>
      </c>
      <c r="I48" s="80" t="e">
        <v>#DIV/0!</v>
      </c>
      <c r="J48" s="80" t="e">
        <v>#DIV/0!</v>
      </c>
      <c r="K48" s="80" t="e">
        <v>#DIV/0!</v>
      </c>
    </row>
    <row r="49" spans="1:11" x14ac:dyDescent="0.25">
      <c r="C49" t="s">
        <v>1</v>
      </c>
      <c r="D49" s="80">
        <v>1</v>
      </c>
      <c r="E49" s="80" t="e">
        <v>#DIV/0!</v>
      </c>
      <c r="F49" s="80" t="e">
        <v>#DIV/0!</v>
      </c>
      <c r="G49" s="80" t="e">
        <v>#DIV/0!</v>
      </c>
      <c r="H49" s="80" t="e">
        <v>#DIV/0!</v>
      </c>
      <c r="I49" s="80" t="e">
        <v>#DIV/0!</v>
      </c>
      <c r="J49" s="80" t="e">
        <v>#DIV/0!</v>
      </c>
      <c r="K49" s="80" t="e">
        <v>#DIV/0!</v>
      </c>
    </row>
    <row r="50" spans="1:11" x14ac:dyDescent="0.25">
      <c r="A50" t="s">
        <v>25</v>
      </c>
      <c r="B50" t="s">
        <v>155</v>
      </c>
      <c r="C50" t="s">
        <v>73</v>
      </c>
      <c r="D50" s="80">
        <v>125</v>
      </c>
      <c r="E50" s="80" t="e">
        <v>#DIV/0!</v>
      </c>
      <c r="F50" s="80" t="e">
        <v>#DIV/0!</v>
      </c>
      <c r="G50" s="80" t="e">
        <v>#DIV/0!</v>
      </c>
      <c r="H50" s="80" t="e">
        <v>#DIV/0!</v>
      </c>
      <c r="I50" s="80" t="e">
        <v>#DIV/0!</v>
      </c>
      <c r="J50" s="80" t="e">
        <v>#DIV/0!</v>
      </c>
      <c r="K50" s="80"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VUE_KPI_FTTH</vt:lpstr>
    </vt:vector>
  </TitlesOfParts>
  <Company>ARCEP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LÉONARD Jean-Michel AR DRG</cp:lastModifiedBy>
  <dcterms:created xsi:type="dcterms:W3CDTF">2021-03-24T14:12:08Z</dcterms:created>
  <dcterms:modified xsi:type="dcterms:W3CDTF">2021-08-31T14:39:53Z</dcterms:modified>
</cp:coreProperties>
</file>